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omments2.xml" ContentType="application/vnd.openxmlformats-officedocument.spreadsheetml.comments+xml"/>
  <Override PartName="/xl/threadedComments/threadedComment2.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7.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8.xml" ContentType="application/vnd.openxmlformats-officedocument.drawing+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hqisolutions.sharepoint.com/sites/Communications2/Shared Documents/General/_QIN-QIO/_Nursing Home/Resources/Tracking Tools/"/>
    </mc:Choice>
  </mc:AlternateContent>
  <xr:revisionPtr revIDLastSave="0" documentId="8_{CD42CB5D-3145-4989-8347-E53B66271BFE}" xr6:coauthVersionLast="47" xr6:coauthVersionMax="47" xr10:uidLastSave="{00000000-0000-0000-0000-000000000000}"/>
  <bookViews>
    <workbookView xWindow="-120" yWindow="-120" windowWidth="38640" windowHeight="21120" tabRatio="946" firstSheet="4" activeTab="8" xr2:uid="{BA2B9B40-81DA-4F73-9377-20C78291F7C8}"/>
  </bookViews>
  <sheets>
    <sheet name="calc" sheetId="7" state="hidden" r:id="rId1"/>
    <sheet name="rank" sheetId="10" state="hidden" r:id="rId2"/>
    <sheet name="Ref2" sheetId="9" state="hidden" r:id="rId3"/>
    <sheet name="ref" sheetId="6" state="hidden" r:id="rId4"/>
    <sheet name="Instructions" sheetId="1" r:id="rId5"/>
    <sheet name="EXAMPLE Falls Data Entry Sheet" sheetId="13" r:id="rId6"/>
    <sheet name="Falls Data Entry" sheetId="2" r:id="rId7"/>
    <sheet name="Unit Designation" sheetId="3" r:id="rId8"/>
    <sheet name="Falls Summary" sheetId="4" r:id="rId9"/>
    <sheet name="Time Location Falls Summary" sheetId="11" r:id="rId10"/>
    <sheet name="Falls Injury Summary" sheetId="12" r:id="rId11"/>
    <sheet name="PALTmedPotential Causal Factors" sheetId="8" r:id="rId12"/>
  </sheets>
  <externalReferences>
    <externalReference r:id="rId13"/>
    <externalReference r:id="rId14"/>
  </externalReferences>
  <definedNames>
    <definedName name="_xlnm._FilterDatabase" localSheetId="6" hidden="1">'Falls Data Entry'!$A$5:$AB$994</definedName>
    <definedName name="Activity_Prior_To">'[1]Falls Data Sheet'!$N$3:$N$4</definedName>
    <definedName name="BlankRowFlags">'[1]Falls Data Sheet'!$AE$3:$AE$4</definedName>
    <definedName name="Date_of_Fall">'[1]Falls Data Sheet'!$G$3:$G$4</definedName>
    <definedName name="Day_of_Week">'[1]Falls Data Sheet'!$I$3:$I$4</definedName>
    <definedName name="Environmental_Issues">'[1]Falls Data Sheet'!#REF!</definedName>
    <definedName name="Fall_with_Injury">'[1]Falls Data Sheet'!$O$3:$O$4</definedName>
    <definedName name="Fall_With_Restraint">'[1]Falls Data Sheet'!$F$3:$F$4</definedName>
    <definedName name="Fall_within_30_Days">'[1]Falls Data Sheet'!$H$3:$H$4</definedName>
    <definedName name="Functional_Status">'[1]Falls Data Sheet'!#REF!</definedName>
    <definedName name="Injury_Type">'[1]Falls Data Sheet'!$P$3:$P$4</definedName>
    <definedName name="KS_NH">'Ref2'!$A$2:$A$332</definedName>
    <definedName name="Location">'[1]Falls Data Sheet'!$A$3:$A$4</definedName>
    <definedName name="Location_of_Fall">'[1]Falls Data Sheet'!$M$3:$M$4</definedName>
    <definedName name="Medications">'[1]Falls Data Sheet'!#REF!</definedName>
    <definedName name="MO_NH">'Ref2'!$D$2:$D$523</definedName>
    <definedName name="PostFallEvaluation">'[1]Falls Data Sheet'!$E$3:$E$4</definedName>
    <definedName name="_xlnm.Print_Area" localSheetId="10">'Falls Injury Summary'!$A$1:$Z$56</definedName>
    <definedName name="_xlnm.Print_Area" localSheetId="8">'Falls Summary'!$A$1:$Z$111</definedName>
    <definedName name="_xlnm.Print_Area" localSheetId="9">'Time Location Falls Summary'!$A$1:$Z$158</definedName>
    <definedName name="process_list">'Ref2'!$R$1:$R$7</definedName>
    <definedName name="Psychological_Status">'[1]Falls Data Sheet'!#REF!</definedName>
    <definedName name="SC_NH">'Ref2'!$G$2:$G$192</definedName>
    <definedName name="Sensory_Status">'[1]Falls Data Sheet'!#REF!</definedName>
    <definedName name="Shift">'[1]Falls Data Sheet'!$J$3:$J$4</definedName>
    <definedName name="Time">'[1]Falls Data Sheet'!$K$3:$K$4</definedName>
    <definedName name="Time_Code">'[1]Falls Data Sheet'!$L$3:$L$4</definedName>
    <definedName name="timeframe" localSheetId="2">'Ref2'!$M$1:$M$24</definedName>
    <definedName name="timeframe">ref!$H$2:$H$38</definedName>
    <definedName name="timeframe2">[2]Ref!$M$1:$M$24</definedName>
    <definedName name="Treatment_Location">'[1]Falls Data Sheet'!$Q$3:$Q$4</definedName>
    <definedName name="Underlying_Chronic">'[1]Falls Data Sheet'!#REF!</definedName>
    <definedName name="Unit">'Unit Designation'!$A$10:$A$29</definedName>
    <definedName name="UserDefinedAA">'[1]Falls Data Sheet'!$AA$3:$AA$4</definedName>
    <definedName name="UserDefinedAB">'[1]Falls Data Sheet'!$AB$3:$AB$4</definedName>
    <definedName name="UserDefinedAC">'[1]Falls Data Sheet'!$AC$3:$AC$4</definedName>
    <definedName name="UserDefinedS">'[1]Falls Data Sheet'!$S$3:$S$4</definedName>
    <definedName name="UserDefinedT">'[1]Falls Data Sheet'!$T$3:$T$4</definedName>
    <definedName name="UserDefinedU">'[1]Falls Data Sheet'!$U$3:$U$4</definedName>
    <definedName name="UserDefinedV">'[1]Falls Data Sheet'!$V$3:$V$4</definedName>
    <definedName name="UserdefinedW">'[1]Falls Data Sheet'!$W$3:$W$4</definedName>
    <definedName name="UserDefinedX">'[1]Falls Data Sheet'!$X$3:$X$4</definedName>
    <definedName name="UserDefinedY">'[1]Falls Data Sheet'!$Y$3:$Y$4</definedName>
    <definedName name="UserDefinedZ">'[1]Falls Data Sheet'!$Z$3:$Z$4</definedName>
    <definedName name="VA_NH">'Ref2'!$J$2:$J$288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3" i="4" l="1"/>
  <c r="E8" i="11"/>
  <c r="E7" i="11"/>
  <c r="G5" i="11"/>
  <c r="F5" i="11"/>
  <c r="E5" i="11"/>
  <c r="E44" i="12"/>
  <c r="J17" i="12"/>
  <c r="J16" i="12"/>
  <c r="J15" i="12"/>
  <c r="D14" i="12"/>
  <c r="K14" i="12"/>
  <c r="E11" i="12"/>
  <c r="K114" i="11"/>
  <c r="E111" i="11"/>
  <c r="E62" i="11"/>
  <c r="E42" i="11"/>
  <c r="E10" i="11"/>
  <c r="D49" i="12"/>
  <c r="D48" i="12"/>
  <c r="D47" i="12"/>
  <c r="G47" i="12" s="1"/>
  <c r="D40" i="12"/>
  <c r="G40" i="12" s="1"/>
  <c r="D39" i="12"/>
  <c r="G39" i="12" s="1"/>
  <c r="D38" i="12"/>
  <c r="D36" i="12"/>
  <c r="E36" i="12" s="1"/>
  <c r="D35" i="12"/>
  <c r="G35" i="12" s="1"/>
  <c r="D34" i="12"/>
  <c r="D32" i="12"/>
  <c r="G32" i="12" s="1"/>
  <c r="D31" i="12"/>
  <c r="G31" i="12" s="1"/>
  <c r="D30" i="12"/>
  <c r="D28" i="12"/>
  <c r="D27" i="12"/>
  <c r="D26" i="12"/>
  <c r="D24" i="12"/>
  <c r="D23" i="12"/>
  <c r="G23" i="12" s="1"/>
  <c r="D22" i="12"/>
  <c r="D20" i="12"/>
  <c r="D19" i="12"/>
  <c r="G19" i="12" s="1"/>
  <c r="D18" i="12"/>
  <c r="D16" i="12"/>
  <c r="G16" i="12" s="1"/>
  <c r="D15" i="12"/>
  <c r="E15" i="12" s="1"/>
  <c r="D156" i="11"/>
  <c r="D155" i="11"/>
  <c r="D154" i="11"/>
  <c r="D152" i="11"/>
  <c r="D151" i="11"/>
  <c r="D150" i="11"/>
  <c r="D148" i="11"/>
  <c r="D147" i="11"/>
  <c r="D146" i="11"/>
  <c r="D144" i="11"/>
  <c r="D143" i="11"/>
  <c r="D142" i="11"/>
  <c r="D140" i="11"/>
  <c r="D139" i="11"/>
  <c r="D138" i="11"/>
  <c r="D136" i="11"/>
  <c r="D135" i="11"/>
  <c r="D134" i="11"/>
  <c r="D132" i="11"/>
  <c r="D131" i="11"/>
  <c r="D130" i="11"/>
  <c r="D128" i="11"/>
  <c r="D127" i="11"/>
  <c r="D126" i="11"/>
  <c r="D124" i="11"/>
  <c r="D123" i="11"/>
  <c r="D122" i="11"/>
  <c r="D120" i="11"/>
  <c r="D119" i="11"/>
  <c r="D118" i="11"/>
  <c r="D116" i="11"/>
  <c r="D115" i="11"/>
  <c r="D114" i="11"/>
  <c r="D107" i="11"/>
  <c r="D106" i="11"/>
  <c r="D105" i="11"/>
  <c r="D103" i="11"/>
  <c r="D102" i="11"/>
  <c r="D101" i="11"/>
  <c r="D99" i="11"/>
  <c r="D98" i="11"/>
  <c r="D97" i="11"/>
  <c r="D93" i="11"/>
  <c r="D92" i="11"/>
  <c r="D91" i="11"/>
  <c r="D89" i="11"/>
  <c r="D88" i="11"/>
  <c r="D87" i="11"/>
  <c r="D85" i="11"/>
  <c r="D84" i="11"/>
  <c r="D83" i="11"/>
  <c r="D79" i="11"/>
  <c r="D78" i="11"/>
  <c r="D77" i="11"/>
  <c r="D75" i="11"/>
  <c r="D74" i="11"/>
  <c r="D73" i="11"/>
  <c r="D71" i="11"/>
  <c r="D70" i="11"/>
  <c r="D69" i="11"/>
  <c r="D67" i="11"/>
  <c r="D66" i="11"/>
  <c r="D65" i="11"/>
  <c r="D55" i="11"/>
  <c r="D54" i="11"/>
  <c r="D53" i="11"/>
  <c r="D51" i="11"/>
  <c r="D50" i="11"/>
  <c r="D49" i="11"/>
  <c r="D47" i="11"/>
  <c r="D46" i="11"/>
  <c r="D45" i="11"/>
  <c r="D39" i="11"/>
  <c r="D38" i="11"/>
  <c r="D37" i="11"/>
  <c r="D35" i="11"/>
  <c r="D34" i="11"/>
  <c r="D33" i="11"/>
  <c r="D31" i="11"/>
  <c r="D30" i="11"/>
  <c r="D29" i="11"/>
  <c r="D27" i="11"/>
  <c r="D26" i="11"/>
  <c r="D25" i="11"/>
  <c r="D23" i="11"/>
  <c r="D22" i="11"/>
  <c r="D21" i="11"/>
  <c r="D19" i="11"/>
  <c r="D18" i="11"/>
  <c r="D17" i="11"/>
  <c r="D15" i="11"/>
  <c r="D14" i="11"/>
  <c r="D13" i="11"/>
  <c r="M7" i="2"/>
  <c r="M8" i="2"/>
  <c r="M9" i="2"/>
  <c r="M10" i="2"/>
  <c r="M11" i="2"/>
  <c r="M12" i="2"/>
  <c r="M13" i="2"/>
  <c r="M14" i="2"/>
  <c r="M22" i="13"/>
  <c r="J22" i="13"/>
  <c r="I22" i="13"/>
  <c r="E81" i="4"/>
  <c r="U82" i="4"/>
  <c r="E83" i="4"/>
  <c r="G83" i="4"/>
  <c r="D84" i="4"/>
  <c r="E84" i="4" s="1"/>
  <c r="K84" i="4"/>
  <c r="D85" i="4"/>
  <c r="E85" i="4" s="1"/>
  <c r="J85" i="4"/>
  <c r="D86" i="4"/>
  <c r="E86" i="4" s="1"/>
  <c r="J86" i="4"/>
  <c r="E87" i="4"/>
  <c r="G87" i="4"/>
  <c r="J87" i="4"/>
  <c r="D88" i="4"/>
  <c r="E88" i="4" s="1"/>
  <c r="D89" i="4"/>
  <c r="E89" i="4" s="1"/>
  <c r="D90" i="4"/>
  <c r="E90" i="4" s="1"/>
  <c r="E91" i="4"/>
  <c r="G91" i="4"/>
  <c r="D92" i="4"/>
  <c r="E92" i="4" s="1"/>
  <c r="D93" i="4"/>
  <c r="E93" i="4" s="1"/>
  <c r="D94" i="4"/>
  <c r="G94" i="4" s="1"/>
  <c r="E95" i="4"/>
  <c r="G95" i="4"/>
  <c r="D96" i="4"/>
  <c r="E96" i="4" s="1"/>
  <c r="G96" i="4"/>
  <c r="D97" i="4"/>
  <c r="G97" i="4" s="1"/>
  <c r="D98" i="4"/>
  <c r="E98" i="4" s="1"/>
  <c r="E99" i="4"/>
  <c r="G99" i="4"/>
  <c r="D100" i="4"/>
  <c r="E100" i="4" s="1"/>
  <c r="D101" i="4"/>
  <c r="E101" i="4" s="1"/>
  <c r="D102" i="4"/>
  <c r="G102" i="4" s="1"/>
  <c r="E103" i="4"/>
  <c r="G103" i="4"/>
  <c r="D104" i="4"/>
  <c r="E104" i="4" s="1"/>
  <c r="D105" i="4"/>
  <c r="E105" i="4" s="1"/>
  <c r="D106" i="4"/>
  <c r="E106" i="4" s="1"/>
  <c r="E107" i="4"/>
  <c r="G107" i="4"/>
  <c r="D108" i="4"/>
  <c r="E108" i="4" s="1"/>
  <c r="G108" i="4"/>
  <c r="D109" i="4"/>
  <c r="E109" i="4" s="1"/>
  <c r="D110" i="4"/>
  <c r="E110" i="4" s="1"/>
  <c r="U112" i="11"/>
  <c r="O4" i="12"/>
  <c r="O3" i="12"/>
  <c r="U12" i="12"/>
  <c r="E49" i="12"/>
  <c r="E48" i="12"/>
  <c r="G46" i="12"/>
  <c r="E46" i="12"/>
  <c r="E38" i="12"/>
  <c r="G37" i="12"/>
  <c r="E37" i="12"/>
  <c r="E34" i="12"/>
  <c r="G33" i="12"/>
  <c r="E33" i="12"/>
  <c r="G30" i="12"/>
  <c r="G29" i="12"/>
  <c r="E29" i="12"/>
  <c r="G28" i="12"/>
  <c r="G27" i="12"/>
  <c r="E26" i="12"/>
  <c r="G25" i="12"/>
  <c r="E25" i="12"/>
  <c r="G24" i="12"/>
  <c r="G22" i="12"/>
  <c r="G21" i="12"/>
  <c r="E21" i="12"/>
  <c r="G18" i="12"/>
  <c r="G17" i="12"/>
  <c r="E17" i="12"/>
  <c r="E14" i="12"/>
  <c r="L13" i="12"/>
  <c r="G13" i="12"/>
  <c r="E13" i="12"/>
  <c r="G155" i="11"/>
  <c r="G154" i="11"/>
  <c r="E154" i="11"/>
  <c r="E153" i="11"/>
  <c r="G151" i="11"/>
  <c r="E149" i="11"/>
  <c r="E148" i="11"/>
  <c r="E146" i="11"/>
  <c r="G145" i="11"/>
  <c r="E145" i="11"/>
  <c r="G143" i="11"/>
  <c r="G142" i="11"/>
  <c r="G141" i="11"/>
  <c r="E141" i="11"/>
  <c r="E137" i="11"/>
  <c r="E135" i="11"/>
  <c r="G133" i="11"/>
  <c r="E133" i="11"/>
  <c r="G130" i="11"/>
  <c r="G129" i="11"/>
  <c r="E129" i="11"/>
  <c r="G125" i="11"/>
  <c r="E125" i="11"/>
  <c r="G124" i="11"/>
  <c r="E122" i="11"/>
  <c r="G121" i="11"/>
  <c r="E121" i="11"/>
  <c r="E119" i="11"/>
  <c r="J117" i="11"/>
  <c r="G117" i="11"/>
  <c r="E117" i="11"/>
  <c r="J116" i="11"/>
  <c r="J115" i="11"/>
  <c r="G115" i="11"/>
  <c r="G114" i="11"/>
  <c r="L113" i="11"/>
  <c r="E113" i="11"/>
  <c r="E54" i="11"/>
  <c r="G52" i="11"/>
  <c r="E52" i="11"/>
  <c r="E49" i="11"/>
  <c r="G48" i="11"/>
  <c r="E48" i="11"/>
  <c r="G44" i="11"/>
  <c r="E44" i="11"/>
  <c r="O3" i="11"/>
  <c r="L18" i="4"/>
  <c r="G38" i="4"/>
  <c r="E38" i="4"/>
  <c r="G34" i="4"/>
  <c r="E34" i="4"/>
  <c r="D41" i="4"/>
  <c r="G41" i="4" s="1"/>
  <c r="D40" i="4"/>
  <c r="G40" i="4" s="1"/>
  <c r="D39" i="4"/>
  <c r="G39" i="4" s="1"/>
  <c r="D37" i="4"/>
  <c r="G37" i="4" s="1"/>
  <c r="D36" i="4"/>
  <c r="G36" i="4" s="1"/>
  <c r="D35" i="4"/>
  <c r="E35" i="4" s="1"/>
  <c r="B3" i="10" a="1"/>
  <c r="B3" i="10" s="1"/>
  <c r="C3" i="10" s="1"/>
  <c r="C22" i="10"/>
  <c r="C21" i="10"/>
  <c r="C20" i="10"/>
  <c r="C19" i="10"/>
  <c r="C18" i="10"/>
  <c r="C17" i="10"/>
  <c r="C16" i="10"/>
  <c r="C15" i="10"/>
  <c r="C14" i="10"/>
  <c r="C13" i="10"/>
  <c r="C12" i="10"/>
  <c r="C11" i="10"/>
  <c r="C10" i="10"/>
  <c r="C9" i="10"/>
  <c r="C8" i="10"/>
  <c r="C7" i="10"/>
  <c r="C6" i="10"/>
  <c r="E10" i="7"/>
  <c r="E9" i="7"/>
  <c r="R6" i="7"/>
  <c r="R7" i="7" s="1"/>
  <c r="H44" i="11" l="1"/>
  <c r="G147" i="11"/>
  <c r="H52" i="11"/>
  <c r="H48" i="11"/>
  <c r="G140" i="11"/>
  <c r="G149" i="11"/>
  <c r="G156" i="11"/>
  <c r="G116" i="11"/>
  <c r="G148" i="11"/>
  <c r="G150" i="11"/>
  <c r="G152" i="11"/>
  <c r="G113" i="11"/>
  <c r="H129" i="11" s="1"/>
  <c r="G127" i="11"/>
  <c r="G137" i="11"/>
  <c r="G153" i="11"/>
  <c r="G51" i="11"/>
  <c r="G132" i="11"/>
  <c r="G46" i="11"/>
  <c r="H46" i="11" s="1"/>
  <c r="G138" i="11"/>
  <c r="E102" i="4"/>
  <c r="E94" i="4"/>
  <c r="F44" i="11"/>
  <c r="F103" i="4"/>
  <c r="F107" i="4"/>
  <c r="G98" i="4"/>
  <c r="G101" i="4"/>
  <c r="E97" i="4"/>
  <c r="F109" i="4" s="1"/>
  <c r="G93" i="4"/>
  <c r="F88" i="4"/>
  <c r="C5" i="10"/>
  <c r="C4" i="10"/>
  <c r="H107" i="4"/>
  <c r="H103" i="4"/>
  <c r="H99" i="4"/>
  <c r="L88" i="4" s="1" a="1"/>
  <c r="L88" i="4" s="1"/>
  <c r="F95" i="4"/>
  <c r="H95" i="4"/>
  <c r="H91" i="4"/>
  <c r="H83" i="4"/>
  <c r="F87" i="4"/>
  <c r="F91" i="4"/>
  <c r="F83" i="4"/>
  <c r="G106" i="4"/>
  <c r="G85" i="4"/>
  <c r="F104" i="4"/>
  <c r="F100" i="4"/>
  <c r="K85" i="4" s="1" a="1"/>
  <c r="K85" i="4" s="1"/>
  <c r="F84" i="4"/>
  <c r="F96" i="4"/>
  <c r="F92" i="4"/>
  <c r="F108" i="4"/>
  <c r="G89" i="4"/>
  <c r="G109" i="4"/>
  <c r="G104" i="4"/>
  <c r="G88" i="4"/>
  <c r="E39" i="4"/>
  <c r="F99" i="4"/>
  <c r="K88" i="4" s="1" a="1"/>
  <c r="K88" i="4" s="1"/>
  <c r="G92" i="4"/>
  <c r="H87" i="4"/>
  <c r="E41" i="4"/>
  <c r="G90" i="4"/>
  <c r="G110" i="4"/>
  <c r="G105" i="4"/>
  <c r="G100" i="4"/>
  <c r="G86" i="4"/>
  <c r="G84" i="4"/>
  <c r="E36" i="4"/>
  <c r="E40" i="4"/>
  <c r="E37" i="4"/>
  <c r="G35" i="4"/>
  <c r="G49" i="11"/>
  <c r="G135" i="11"/>
  <c r="E46" i="11"/>
  <c r="E114" i="11"/>
  <c r="E116" i="11"/>
  <c r="E140" i="11"/>
  <c r="E127" i="11"/>
  <c r="F137" i="11"/>
  <c r="G146" i="11"/>
  <c r="E156" i="11"/>
  <c r="E51" i="11"/>
  <c r="F129" i="11"/>
  <c r="E115" i="11"/>
  <c r="E138" i="11"/>
  <c r="F121" i="11"/>
  <c r="F48" i="11"/>
  <c r="G119" i="11"/>
  <c r="G122" i="11"/>
  <c r="E130" i="11"/>
  <c r="F149" i="11"/>
  <c r="E124" i="11"/>
  <c r="E143" i="11"/>
  <c r="E151" i="11"/>
  <c r="G54" i="11"/>
  <c r="E132" i="11"/>
  <c r="G49" i="12"/>
  <c r="G34" i="12"/>
  <c r="E16" i="12"/>
  <c r="G26" i="12"/>
  <c r="G36" i="12"/>
  <c r="E35" i="12"/>
  <c r="E40" i="12"/>
  <c r="F21" i="12"/>
  <c r="H17" i="12"/>
  <c r="E30" i="12"/>
  <c r="G15" i="12"/>
  <c r="H15" i="12" s="1"/>
  <c r="E31" i="12"/>
  <c r="G38" i="12"/>
  <c r="E18" i="12"/>
  <c r="E23" i="12"/>
  <c r="E28" i="12"/>
  <c r="E39" i="12"/>
  <c r="F25" i="12"/>
  <c r="H29" i="12"/>
  <c r="H21" i="12"/>
  <c r="F29" i="12"/>
  <c r="F33" i="12"/>
  <c r="H13" i="12"/>
  <c r="L18" i="12" s="1" a="1"/>
  <c r="L18" i="12" s="1"/>
  <c r="H33" i="12"/>
  <c r="F17" i="12"/>
  <c r="F37" i="12"/>
  <c r="G20" i="12"/>
  <c r="E20" i="12"/>
  <c r="H37" i="12"/>
  <c r="G48" i="12"/>
  <c r="G14" i="12"/>
  <c r="E22" i="12"/>
  <c r="E27" i="12"/>
  <c r="E32" i="12"/>
  <c r="E47" i="12"/>
  <c r="F13" i="12"/>
  <c r="K18" i="12" s="1" a="1"/>
  <c r="K18" i="12" s="1"/>
  <c r="H25" i="12"/>
  <c r="E19" i="12"/>
  <c r="E24" i="12"/>
  <c r="F113" i="11"/>
  <c r="K118" i="11" s="1" a="1"/>
  <c r="K118" i="11" s="1"/>
  <c r="F145" i="11"/>
  <c r="F153" i="11"/>
  <c r="F141" i="11"/>
  <c r="E144" i="11"/>
  <c r="G144" i="11"/>
  <c r="G47" i="11"/>
  <c r="H47" i="11" s="1"/>
  <c r="E47" i="11"/>
  <c r="F52" i="11"/>
  <c r="G55" i="11"/>
  <c r="E55" i="11"/>
  <c r="E118" i="11"/>
  <c r="G118" i="11"/>
  <c r="G120" i="11"/>
  <c r="E120" i="11"/>
  <c r="F125" i="11"/>
  <c r="G128" i="11"/>
  <c r="E128" i="11"/>
  <c r="F133" i="11"/>
  <c r="G136" i="11"/>
  <c r="E136" i="11"/>
  <c r="G45" i="11"/>
  <c r="H45" i="11" s="1"/>
  <c r="E45" i="11"/>
  <c r="E139" i="11"/>
  <c r="G139" i="11"/>
  <c r="G50" i="11"/>
  <c r="H50" i="11" s="1"/>
  <c r="E50" i="11"/>
  <c r="E53" i="11"/>
  <c r="G53" i="11"/>
  <c r="F117" i="11"/>
  <c r="G123" i="11"/>
  <c r="E123" i="11"/>
  <c r="G126" i="11"/>
  <c r="E126" i="11"/>
  <c r="G131" i="11"/>
  <c r="E131" i="11"/>
  <c r="E134" i="11"/>
  <c r="G134" i="11"/>
  <c r="E150" i="11"/>
  <c r="E155" i="11"/>
  <c r="E142" i="11"/>
  <c r="E147" i="11"/>
  <c r="E152" i="11"/>
  <c r="R8" i="7"/>
  <c r="S8" i="7" s="1"/>
  <c r="S7" i="7"/>
  <c r="S6" i="7"/>
  <c r="V5" i="7"/>
  <c r="U5" i="7"/>
  <c r="V7" i="7" s="1"/>
  <c r="T5" i="7"/>
  <c r="T6" i="7" s="1"/>
  <c r="K230" i="7"/>
  <c r="L229" i="7"/>
  <c r="G253" i="7"/>
  <c r="E253" i="7"/>
  <c r="G249" i="7"/>
  <c r="E249" i="7"/>
  <c r="G245" i="7"/>
  <c r="E245" i="7"/>
  <c r="G241" i="7"/>
  <c r="E241" i="7"/>
  <c r="G237" i="7"/>
  <c r="E237" i="7"/>
  <c r="G233" i="7"/>
  <c r="E233" i="7"/>
  <c r="G229" i="7"/>
  <c r="E229" i="7"/>
  <c r="E227" i="7"/>
  <c r="E259" i="7"/>
  <c r="G64" i="7"/>
  <c r="E64" i="7"/>
  <c r="G60" i="7"/>
  <c r="E60" i="7"/>
  <c r="G56" i="7"/>
  <c r="E56" i="7"/>
  <c r="G52" i="7"/>
  <c r="E52" i="7"/>
  <c r="G48" i="7"/>
  <c r="E48" i="7"/>
  <c r="G44" i="7"/>
  <c r="E44" i="7"/>
  <c r="G40" i="7"/>
  <c r="E40" i="7"/>
  <c r="G36" i="7"/>
  <c r="E36" i="7"/>
  <c r="E34" i="7"/>
  <c r="G51" i="4"/>
  <c r="E51" i="4"/>
  <c r="H53" i="11" l="1"/>
  <c r="H49" i="11"/>
  <c r="H54" i="11"/>
  <c r="H133" i="11"/>
  <c r="H51" i="11"/>
  <c r="H55" i="11"/>
  <c r="H141" i="11"/>
  <c r="H137" i="11"/>
  <c r="H117" i="11"/>
  <c r="H153" i="11"/>
  <c r="H125" i="11"/>
  <c r="H121" i="11"/>
  <c r="H145" i="11"/>
  <c r="H113" i="11"/>
  <c r="L118" i="11" s="1" a="1"/>
  <c r="L118" i="11" s="1"/>
  <c r="H149" i="11"/>
  <c r="F102" i="4"/>
  <c r="F98" i="4"/>
  <c r="F86" i="4"/>
  <c r="F110" i="4"/>
  <c r="F106" i="4"/>
  <c r="F90" i="4"/>
  <c r="F94" i="4"/>
  <c r="R9" i="7"/>
  <c r="U9" i="7" s="1"/>
  <c r="H105" i="4"/>
  <c r="D15" i="10"/>
  <c r="H131" i="11"/>
  <c r="K87" i="4" a="1"/>
  <c r="K87" i="4" s="1"/>
  <c r="D5" i="10"/>
  <c r="F89" i="4"/>
  <c r="F85" i="4"/>
  <c r="F93" i="4"/>
  <c r="F101" i="4"/>
  <c r="K86" i="4" s="1" a="1"/>
  <c r="K86" i="4" s="1"/>
  <c r="F105" i="4"/>
  <c r="F97" i="4"/>
  <c r="H96" i="4"/>
  <c r="D6" i="10"/>
  <c r="D21" i="10"/>
  <c r="D13" i="10"/>
  <c r="D20" i="10"/>
  <c r="D3" i="10"/>
  <c r="D12" i="10"/>
  <c r="D19" i="10"/>
  <c r="D22" i="10"/>
  <c r="D16" i="10"/>
  <c r="D10" i="10"/>
  <c r="D17" i="10"/>
  <c r="D18" i="10"/>
  <c r="D8" i="10"/>
  <c r="D9" i="10"/>
  <c r="D4" i="10"/>
  <c r="D14" i="10"/>
  <c r="D11" i="10"/>
  <c r="D7" i="10"/>
  <c r="H97" i="4"/>
  <c r="H84" i="4"/>
  <c r="H88" i="4"/>
  <c r="H104" i="4"/>
  <c r="H89" i="4"/>
  <c r="H85" i="4"/>
  <c r="H109" i="4"/>
  <c r="H108" i="4"/>
  <c r="H98" i="4"/>
  <c r="H86" i="4"/>
  <c r="H90" i="4"/>
  <c r="H92" i="4"/>
  <c r="H94" i="4"/>
  <c r="H100" i="4"/>
  <c r="L85" i="4" s="1" a="1"/>
  <c r="L85" i="4" s="1"/>
  <c r="H102" i="4"/>
  <c r="H106" i="4"/>
  <c r="H101" i="4"/>
  <c r="H93" i="4"/>
  <c r="H110" i="4"/>
  <c r="F115" i="11"/>
  <c r="K116" i="11" s="1" a="1"/>
  <c r="K116" i="11" s="1"/>
  <c r="F140" i="11"/>
  <c r="F130" i="11"/>
  <c r="F55" i="11"/>
  <c r="H151" i="11"/>
  <c r="H115" i="11"/>
  <c r="L116" i="11" s="1" a="1"/>
  <c r="L116" i="11" s="1"/>
  <c r="F142" i="11"/>
  <c r="F152" i="11"/>
  <c r="H148" i="11"/>
  <c r="F150" i="11"/>
  <c r="H144" i="11"/>
  <c r="H118" i="11"/>
  <c r="F131" i="11"/>
  <c r="F45" i="11"/>
  <c r="H20" i="12"/>
  <c r="H23" i="12"/>
  <c r="L16" i="12" a="1"/>
  <c r="L16" i="12" s="1"/>
  <c r="H38" i="12"/>
  <c r="F22" i="12"/>
  <c r="H40" i="12"/>
  <c r="H27" i="12"/>
  <c r="H18" i="12"/>
  <c r="H16" i="12"/>
  <c r="H19" i="12"/>
  <c r="H22" i="12"/>
  <c r="H35" i="12"/>
  <c r="H34" i="12"/>
  <c r="H28" i="12"/>
  <c r="H31" i="12"/>
  <c r="F24" i="12"/>
  <c r="F19" i="12"/>
  <c r="H24" i="12"/>
  <c r="H39" i="12"/>
  <c r="H32" i="12"/>
  <c r="H14" i="12"/>
  <c r="L15" i="12" s="1" a="1"/>
  <c r="L15" i="12" s="1"/>
  <c r="H26" i="12"/>
  <c r="H36" i="12"/>
  <c r="F18" i="12"/>
  <c r="F35" i="12"/>
  <c r="F20" i="12"/>
  <c r="F30" i="12"/>
  <c r="F16" i="12"/>
  <c r="F14" i="12"/>
  <c r="K15" i="12" s="1" a="1"/>
  <c r="K15" i="12" s="1"/>
  <c r="F38" i="12"/>
  <c r="F23" i="12"/>
  <c r="F15" i="12"/>
  <c r="K16" i="12" s="1" a="1"/>
  <c r="K16" i="12" s="1"/>
  <c r="F40" i="12"/>
  <c r="H30" i="12"/>
  <c r="F39" i="12"/>
  <c r="F36" i="12"/>
  <c r="F32" i="12"/>
  <c r="F34" i="12"/>
  <c r="F27" i="12"/>
  <c r="F31" i="12"/>
  <c r="F26" i="12"/>
  <c r="F28" i="12"/>
  <c r="H139" i="11"/>
  <c r="F118" i="11"/>
  <c r="F49" i="11"/>
  <c r="H127" i="11"/>
  <c r="F144" i="11"/>
  <c r="F156" i="11"/>
  <c r="F126" i="11"/>
  <c r="F139" i="11"/>
  <c r="F128" i="11"/>
  <c r="F47" i="11"/>
  <c r="H124" i="11"/>
  <c r="H156" i="11"/>
  <c r="H114" i="11"/>
  <c r="L115" i="11" s="1" a="1"/>
  <c r="L115" i="11" s="1"/>
  <c r="F46" i="11"/>
  <c r="F50" i="11"/>
  <c r="F119" i="11"/>
  <c r="H116" i="11"/>
  <c r="L117" i="11" s="1" a="1"/>
  <c r="L117" i="11" s="1"/>
  <c r="H126" i="11"/>
  <c r="H154" i="11"/>
  <c r="H128" i="11"/>
  <c r="H119" i="11"/>
  <c r="F135" i="11"/>
  <c r="F54" i="11"/>
  <c r="F146" i="11"/>
  <c r="F147" i="11"/>
  <c r="F148" i="11"/>
  <c r="F123" i="11"/>
  <c r="H130" i="11"/>
  <c r="F151" i="11"/>
  <c r="F154" i="11"/>
  <c r="F132" i="11"/>
  <c r="F51" i="11"/>
  <c r="F143" i="11"/>
  <c r="F155" i="11"/>
  <c r="H123" i="11"/>
  <c r="H122" i="11"/>
  <c r="H138" i="11"/>
  <c r="F122" i="11"/>
  <c r="H146" i="11"/>
  <c r="H147" i="11"/>
  <c r="H134" i="11"/>
  <c r="F136" i="11"/>
  <c r="F120" i="11"/>
  <c r="F138" i="11"/>
  <c r="F127" i="11"/>
  <c r="H143" i="11"/>
  <c r="F116" i="11"/>
  <c r="K117" i="11" s="1" a="1"/>
  <c r="K117" i="11" s="1"/>
  <c r="H142" i="11"/>
  <c r="H132" i="11"/>
  <c r="F134" i="11"/>
  <c r="F114" i="11"/>
  <c r="K115" i="11" s="1" a="1"/>
  <c r="K115" i="11" s="1"/>
  <c r="F53" i="11"/>
  <c r="H155" i="11"/>
  <c r="H136" i="11"/>
  <c r="H120" i="11"/>
  <c r="H152" i="11"/>
  <c r="H135" i="11"/>
  <c r="H150" i="11"/>
  <c r="F124" i="11"/>
  <c r="H140" i="11"/>
  <c r="T8" i="7"/>
  <c r="U7" i="7"/>
  <c r="V6" i="7"/>
  <c r="U6" i="7"/>
  <c r="V8" i="7"/>
  <c r="T7" i="7"/>
  <c r="U8" i="7"/>
  <c r="H229" i="7"/>
  <c r="F241" i="7"/>
  <c r="F245" i="7"/>
  <c r="H245" i="7"/>
  <c r="F237" i="7"/>
  <c r="F233" i="7"/>
  <c r="F249" i="7"/>
  <c r="H233" i="7"/>
  <c r="H249" i="7"/>
  <c r="F253" i="7"/>
  <c r="H237" i="7"/>
  <c r="H241" i="7"/>
  <c r="H253" i="7"/>
  <c r="F229" i="7"/>
  <c r="E7" i="7" a="1"/>
  <c r="G302" i="7"/>
  <c r="E302" i="7"/>
  <c r="G298" i="7"/>
  <c r="E298" i="7"/>
  <c r="G294" i="7"/>
  <c r="E294" i="7"/>
  <c r="E292" i="7"/>
  <c r="G285" i="7"/>
  <c r="E285" i="7"/>
  <c r="G281" i="7"/>
  <c r="E281" i="7"/>
  <c r="G277" i="7"/>
  <c r="E277" i="7"/>
  <c r="G273" i="7"/>
  <c r="E273" i="7"/>
  <c r="G269" i="7"/>
  <c r="E269" i="7"/>
  <c r="G265" i="7"/>
  <c r="E265" i="7"/>
  <c r="K262" i="7"/>
  <c r="L261" i="7"/>
  <c r="G261" i="7"/>
  <c r="E261" i="7"/>
  <c r="G221" i="7"/>
  <c r="E221" i="7"/>
  <c r="G217" i="7"/>
  <c r="E217" i="7"/>
  <c r="G213" i="7"/>
  <c r="E213" i="7"/>
  <c r="G209" i="7"/>
  <c r="E209" i="7"/>
  <c r="G205" i="7"/>
  <c r="E205" i="7"/>
  <c r="G201" i="7"/>
  <c r="E201" i="7"/>
  <c r="G197" i="7"/>
  <c r="E197" i="7"/>
  <c r="G193" i="7"/>
  <c r="E193" i="7"/>
  <c r="G189" i="7"/>
  <c r="E189" i="7"/>
  <c r="G185" i="7"/>
  <c r="E185" i="7"/>
  <c r="K182" i="7"/>
  <c r="L181" i="7"/>
  <c r="G181" i="7"/>
  <c r="E181" i="7"/>
  <c r="E179" i="7"/>
  <c r="E130" i="7"/>
  <c r="G120" i="7"/>
  <c r="E120" i="7"/>
  <c r="G116" i="7"/>
  <c r="E116" i="7"/>
  <c r="G112" i="7"/>
  <c r="E112" i="7"/>
  <c r="E110" i="7"/>
  <c r="E78" i="7"/>
  <c r="K37" i="7"/>
  <c r="L36" i="7"/>
  <c r="G22" i="7"/>
  <c r="E22" i="7"/>
  <c r="G18" i="7"/>
  <c r="E18" i="7"/>
  <c r="K16" i="7"/>
  <c r="L14" i="7"/>
  <c r="G14" i="7"/>
  <c r="H36" i="7" s="1"/>
  <c r="E14" i="7"/>
  <c r="F64" i="7" s="1"/>
  <c r="E12" i="7"/>
  <c r="O6" i="7"/>
  <c r="L47" i="4"/>
  <c r="J50" i="4"/>
  <c r="J49" i="4"/>
  <c r="K48" i="4"/>
  <c r="K20" i="4"/>
  <c r="E16" i="4"/>
  <c r="J23" i="4"/>
  <c r="J22" i="4"/>
  <c r="J21" i="4"/>
  <c r="D20" i="4"/>
  <c r="T9" i="7" l="1"/>
  <c r="V9" i="7"/>
  <c r="R10" i="7"/>
  <c r="V10" i="7" s="1"/>
  <c r="S9" i="7"/>
  <c r="L86" i="4" a="1"/>
  <c r="L86" i="4" s="1"/>
  <c r="L87" i="4" a="1"/>
  <c r="L87" i="4" s="1"/>
  <c r="F3" i="10" a="1"/>
  <c r="L6" i="12" s="1"/>
  <c r="L17" i="12" a="1"/>
  <c r="L17" i="12" s="1"/>
  <c r="K17" i="12" a="1"/>
  <c r="K17" i="12" s="1"/>
  <c r="F18" i="7"/>
  <c r="D236" i="7"/>
  <c r="D232" i="7"/>
  <c r="D244" i="7"/>
  <c r="D240" i="7"/>
  <c r="D239" i="7"/>
  <c r="D235" i="7"/>
  <c r="D231" i="7"/>
  <c r="D248" i="7"/>
  <c r="D243" i="7"/>
  <c r="D251" i="7"/>
  <c r="D252" i="7"/>
  <c r="D247" i="7"/>
  <c r="D256" i="7"/>
  <c r="D255" i="7"/>
  <c r="F40" i="7"/>
  <c r="H48" i="7"/>
  <c r="F48" i="7"/>
  <c r="H52" i="7"/>
  <c r="H18" i="7"/>
  <c r="H60" i="7"/>
  <c r="F56" i="7"/>
  <c r="F52" i="7"/>
  <c r="H298" i="7"/>
  <c r="F60" i="7"/>
  <c r="H56" i="7"/>
  <c r="H44" i="7"/>
  <c r="E7" i="7"/>
  <c r="D218" i="7" s="1"/>
  <c r="E218" i="7" s="1"/>
  <c r="D55" i="7"/>
  <c r="D51" i="7"/>
  <c r="D59" i="7"/>
  <c r="D54" i="7"/>
  <c r="D50" i="7"/>
  <c r="D39" i="7"/>
  <c r="D66" i="7"/>
  <c r="D58" i="7"/>
  <c r="D63" i="7"/>
  <c r="D46" i="7"/>
  <c r="D43" i="7"/>
  <c r="D42" i="7"/>
  <c r="D38" i="7"/>
  <c r="D62" i="7"/>
  <c r="D67" i="7"/>
  <c r="D47" i="7"/>
  <c r="H64" i="7"/>
  <c r="F36" i="7"/>
  <c r="K41" i="7" s="1" a="1"/>
  <c r="K41" i="7" s="1"/>
  <c r="H40" i="7"/>
  <c r="F44" i="7"/>
  <c r="H14" i="7"/>
  <c r="H265" i="7"/>
  <c r="F281" i="7"/>
  <c r="F116" i="7"/>
  <c r="H302" i="7"/>
  <c r="F193" i="7"/>
  <c r="F14" i="7"/>
  <c r="H22" i="7"/>
  <c r="F294" i="7"/>
  <c r="F221" i="7"/>
  <c r="F277" i="7"/>
  <c r="H294" i="7"/>
  <c r="H120" i="7"/>
  <c r="F22" i="7"/>
  <c r="F197" i="7"/>
  <c r="F298" i="7"/>
  <c r="F269" i="7"/>
  <c r="H281" i="7"/>
  <c r="F302" i="7"/>
  <c r="F189" i="7"/>
  <c r="F261" i="7"/>
  <c r="K266" i="7" s="1" a="1"/>
  <c r="K266" i="7" s="1"/>
  <c r="F273" i="7"/>
  <c r="H277" i="7"/>
  <c r="D192" i="7"/>
  <c r="E192" i="7" s="1"/>
  <c r="J40" i="7"/>
  <c r="D139" i="7"/>
  <c r="D17" i="7"/>
  <c r="G17" i="7" s="1"/>
  <c r="H17" i="7" s="1"/>
  <c r="D95" i="7"/>
  <c r="D21" i="7"/>
  <c r="G21" i="7" s="1"/>
  <c r="D87" i="7"/>
  <c r="D102" i="7"/>
  <c r="D212" i="7"/>
  <c r="G212" i="7" s="1"/>
  <c r="J185" i="7"/>
  <c r="D103" i="7"/>
  <c r="D114" i="7"/>
  <c r="D146" i="7"/>
  <c r="D156" i="7"/>
  <c r="D166" i="7"/>
  <c r="D187" i="7"/>
  <c r="D199" i="7"/>
  <c r="G199" i="7" s="1"/>
  <c r="D223" i="7"/>
  <c r="E223" i="7" s="1"/>
  <c r="D263" i="7"/>
  <c r="G263" i="7" s="1"/>
  <c r="D280" i="7"/>
  <c r="G280" i="7" s="1"/>
  <c r="D287" i="7"/>
  <c r="G287" i="7" s="1"/>
  <c r="D268" i="7"/>
  <c r="G268" i="7" s="1"/>
  <c r="D28" i="7"/>
  <c r="D122" i="7"/>
  <c r="D134" i="7"/>
  <c r="D147" i="7"/>
  <c r="D157" i="7"/>
  <c r="D167" i="7"/>
  <c r="D174" i="7"/>
  <c r="D183" i="7"/>
  <c r="D200" i="7"/>
  <c r="E200" i="7" s="1"/>
  <c r="D207" i="7"/>
  <c r="D219" i="7"/>
  <c r="E219" i="7" s="1"/>
  <c r="D224" i="7"/>
  <c r="D264" i="7"/>
  <c r="G264" i="7" s="1"/>
  <c r="D288" i="7"/>
  <c r="G288" i="7" s="1"/>
  <c r="D300" i="7"/>
  <c r="E300" i="7" s="1"/>
  <c r="D29" i="7"/>
  <c r="D82" i="7"/>
  <c r="D90" i="7"/>
  <c r="D98" i="7"/>
  <c r="D115" i="7"/>
  <c r="E115" i="7" s="1"/>
  <c r="D135" i="7"/>
  <c r="D175" i="7"/>
  <c r="D188" i="7"/>
  <c r="G188" i="7" s="1"/>
  <c r="D220" i="7"/>
  <c r="J264" i="7"/>
  <c r="D271" i="7"/>
  <c r="D276" i="7"/>
  <c r="G276" i="7" s="1"/>
  <c r="D301" i="7"/>
  <c r="G301" i="7" s="1"/>
  <c r="D275" i="7"/>
  <c r="D16" i="7"/>
  <c r="D24" i="7"/>
  <c r="D83" i="7"/>
  <c r="D91" i="7"/>
  <c r="D106" i="7"/>
  <c r="D123" i="7"/>
  <c r="D142" i="7"/>
  <c r="D184" i="7"/>
  <c r="G184" i="7" s="1"/>
  <c r="D195" i="7"/>
  <c r="G195" i="7" s="1"/>
  <c r="D208" i="7"/>
  <c r="G208" i="7" s="1"/>
  <c r="J18" i="7"/>
  <c r="D152" i="7"/>
  <c r="J184" i="7"/>
  <c r="D203" i="7"/>
  <c r="G203" i="7" s="1"/>
  <c r="D272" i="7"/>
  <c r="E272" i="7" s="1"/>
  <c r="D283" i="7"/>
  <c r="E283" i="7" s="1"/>
  <c r="J39" i="7"/>
  <c r="D160" i="7"/>
  <c r="D215" i="7"/>
  <c r="G215" i="7" s="1"/>
  <c r="J19" i="7"/>
  <c r="D25" i="7"/>
  <c r="E25" i="7" s="1"/>
  <c r="D118" i="7"/>
  <c r="G118" i="7" s="1"/>
  <c r="D143" i="7"/>
  <c r="D153" i="7"/>
  <c r="D161" i="7"/>
  <c r="D170" i="7"/>
  <c r="D191" i="7"/>
  <c r="D204" i="7"/>
  <c r="D216" i="7"/>
  <c r="J265" i="7"/>
  <c r="D279" i="7"/>
  <c r="D284" i="7"/>
  <c r="G284" i="7" s="1"/>
  <c r="D296" i="7"/>
  <c r="G296" i="7" s="1"/>
  <c r="D304" i="7"/>
  <c r="E304" i="7" s="1"/>
  <c r="D99" i="7"/>
  <c r="D107" i="7"/>
  <c r="D196" i="7"/>
  <c r="D20" i="7"/>
  <c r="G20" i="7" s="1"/>
  <c r="D86" i="7"/>
  <c r="D94" i="7"/>
  <c r="D119" i="7"/>
  <c r="G119" i="7" s="1"/>
  <c r="D138" i="7"/>
  <c r="D171" i="7"/>
  <c r="D211" i="7"/>
  <c r="G211" i="7" s="1"/>
  <c r="D267" i="7"/>
  <c r="E267" i="7" s="1"/>
  <c r="D297" i="7"/>
  <c r="E297" i="7" s="1"/>
  <c r="D305" i="7"/>
  <c r="G305" i="7" s="1"/>
  <c r="D210" i="7"/>
  <c r="F120" i="7"/>
  <c r="H209" i="7"/>
  <c r="H193" i="7"/>
  <c r="H112" i="7"/>
  <c r="H116" i="7"/>
  <c r="H201" i="7"/>
  <c r="H181" i="7"/>
  <c r="L186" i="7" s="1" a="1"/>
  <c r="L186" i="7" s="1"/>
  <c r="L41" i="7" a="1"/>
  <c r="L41" i="7" s="1"/>
  <c r="F112" i="7"/>
  <c r="H221" i="7"/>
  <c r="F205" i="7"/>
  <c r="F213" i="7"/>
  <c r="H261" i="7"/>
  <c r="L266" i="7" s="1" a="1"/>
  <c r="L266" i="7" s="1"/>
  <c r="H269" i="7"/>
  <c r="F185" i="7"/>
  <c r="H205" i="7"/>
  <c r="H213" i="7"/>
  <c r="H273" i="7"/>
  <c r="H185" i="7"/>
  <c r="H197" i="7"/>
  <c r="H189" i="7"/>
  <c r="F201" i="7"/>
  <c r="F217" i="7"/>
  <c r="F181" i="7"/>
  <c r="K186" i="7" s="1" a="1"/>
  <c r="K186" i="7" s="1"/>
  <c r="F209" i="7"/>
  <c r="H217" i="7"/>
  <c r="H285" i="7"/>
  <c r="F265" i="7"/>
  <c r="F285" i="7"/>
  <c r="R11" i="7" l="1"/>
  <c r="R12" i="7" s="1"/>
  <c r="S10" i="7"/>
  <c r="U10" i="7"/>
  <c r="T10" i="7"/>
  <c r="L6" i="11"/>
  <c r="L7" i="4"/>
  <c r="J7" i="12"/>
  <c r="K6" i="12"/>
  <c r="J7" i="4"/>
  <c r="F3" i="10"/>
  <c r="J6" i="4" s="1"/>
  <c r="J7" i="11"/>
  <c r="K7" i="11"/>
  <c r="K6" i="4"/>
  <c r="L7" i="12"/>
  <c r="L6" i="4"/>
  <c r="K6" i="11"/>
  <c r="L7" i="11"/>
  <c r="K7" i="12"/>
  <c r="K7" i="4"/>
  <c r="D202" i="7"/>
  <c r="D299" i="7"/>
  <c r="E299" i="7" s="1"/>
  <c r="E263" i="7"/>
  <c r="D286" i="7"/>
  <c r="G286" i="7" s="1"/>
  <c r="D101" i="7"/>
  <c r="D117" i="7"/>
  <c r="E117" i="7" s="1"/>
  <c r="J231" i="7"/>
  <c r="E203" i="7"/>
  <c r="J17" i="7"/>
  <c r="D151" i="7"/>
  <c r="D165" i="7"/>
  <c r="D278" i="7"/>
  <c r="D23" i="7"/>
  <c r="E23" i="7" s="1"/>
  <c r="D214" i="7"/>
  <c r="E214" i="7" s="1"/>
  <c r="D295" i="7"/>
  <c r="G295" i="7" s="1"/>
  <c r="E287" i="7"/>
  <c r="D182" i="7"/>
  <c r="G182" i="7" s="1"/>
  <c r="J38" i="7"/>
  <c r="D274" i="7"/>
  <c r="G274" i="7" s="1"/>
  <c r="D97" i="7"/>
  <c r="D137" i="7"/>
  <c r="D133" i="7"/>
  <c r="D198" i="7"/>
  <c r="G198" i="7" s="1"/>
  <c r="D85" i="7"/>
  <c r="D141" i="7"/>
  <c r="J183" i="7"/>
  <c r="D159" i="7"/>
  <c r="D173" i="7"/>
  <c r="D105" i="7"/>
  <c r="G300" i="7"/>
  <c r="D145" i="7"/>
  <c r="D222" i="7"/>
  <c r="G222" i="7" s="1"/>
  <c r="D206" i="7"/>
  <c r="E206" i="7" s="1"/>
  <c r="J263" i="7"/>
  <c r="D113" i="7"/>
  <c r="E113" i="7" s="1"/>
  <c r="D194" i="7"/>
  <c r="E194" i="7" s="1"/>
  <c r="D190" i="7"/>
  <c r="G190" i="7" s="1"/>
  <c r="D303" i="7"/>
  <c r="G303" i="7" s="1"/>
  <c r="D93" i="7"/>
  <c r="D19" i="7"/>
  <c r="G19" i="7" s="1"/>
  <c r="D262" i="7"/>
  <c r="G262" i="7" s="1"/>
  <c r="D89" i="7"/>
  <c r="D169" i="7"/>
  <c r="D186" i="7"/>
  <c r="G186" i="7" s="1"/>
  <c r="D282" i="7"/>
  <c r="G282" i="7" s="1"/>
  <c r="D81" i="7"/>
  <c r="D266" i="7"/>
  <c r="G266" i="7" s="1"/>
  <c r="D155" i="7"/>
  <c r="D15" i="7"/>
  <c r="G15" i="7" s="1"/>
  <c r="H15" i="7" s="1"/>
  <c r="D270" i="7"/>
  <c r="D27" i="7"/>
  <c r="D121" i="7"/>
  <c r="G121" i="7" s="1"/>
  <c r="E231" i="7"/>
  <c r="G231" i="7"/>
  <c r="E255" i="7"/>
  <c r="G255" i="7"/>
  <c r="G235" i="7"/>
  <c r="E235" i="7"/>
  <c r="G247" i="7"/>
  <c r="E247" i="7"/>
  <c r="E240" i="7"/>
  <c r="G240" i="7"/>
  <c r="G239" i="7"/>
  <c r="E239" i="7"/>
  <c r="G252" i="7"/>
  <c r="E252" i="7"/>
  <c r="G244" i="7"/>
  <c r="E244" i="7"/>
  <c r="G256" i="7"/>
  <c r="E256" i="7"/>
  <c r="D254" i="7"/>
  <c r="D234" i="7"/>
  <c r="D230" i="7"/>
  <c r="D242" i="7"/>
  <c r="D238" i="7"/>
  <c r="D246" i="7"/>
  <c r="D250" i="7"/>
  <c r="G251" i="7"/>
  <c r="E251" i="7"/>
  <c r="G232" i="7"/>
  <c r="E232" i="7"/>
  <c r="E243" i="7"/>
  <c r="G243" i="7"/>
  <c r="E236" i="7"/>
  <c r="G236" i="7"/>
  <c r="E248" i="7"/>
  <c r="G248" i="7"/>
  <c r="E21" i="7"/>
  <c r="G46" i="7"/>
  <c r="E46" i="7"/>
  <c r="G51" i="7"/>
  <c r="H51" i="7" s="1"/>
  <c r="E51" i="7"/>
  <c r="E301" i="7"/>
  <c r="G47" i="7"/>
  <c r="H47" i="7" s="1"/>
  <c r="E47" i="7"/>
  <c r="G58" i="7"/>
  <c r="E58" i="7"/>
  <c r="D65" i="7"/>
  <c r="D45" i="7"/>
  <c r="D41" i="7"/>
  <c r="D37" i="7"/>
  <c r="D49" i="7"/>
  <c r="D57" i="7"/>
  <c r="D53" i="7"/>
  <c r="D61" i="7"/>
  <c r="G200" i="7"/>
  <c r="G67" i="7"/>
  <c r="H67" i="7" s="1"/>
  <c r="E67" i="7"/>
  <c r="E66" i="7"/>
  <c r="G66" i="7"/>
  <c r="G63" i="7"/>
  <c r="H63" i="7" s="1"/>
  <c r="E63" i="7"/>
  <c r="G62" i="7"/>
  <c r="E62" i="7"/>
  <c r="G39" i="7"/>
  <c r="H39" i="7" s="1"/>
  <c r="E39" i="7"/>
  <c r="E43" i="7"/>
  <c r="G43" i="7"/>
  <c r="H43" i="7" s="1"/>
  <c r="E59" i="7"/>
  <c r="G59" i="7"/>
  <c r="H59" i="7" s="1"/>
  <c r="G55" i="7"/>
  <c r="H55" i="7" s="1"/>
  <c r="E55" i="7"/>
  <c r="G223" i="7"/>
  <c r="E38" i="7"/>
  <c r="G38" i="7"/>
  <c r="G50" i="7"/>
  <c r="E50" i="7"/>
  <c r="E42" i="7"/>
  <c r="G42" i="7"/>
  <c r="E54" i="7"/>
  <c r="G54" i="7"/>
  <c r="G297" i="7"/>
  <c r="H297" i="7" s="1"/>
  <c r="E199" i="7"/>
  <c r="E264" i="7"/>
  <c r="E268" i="7"/>
  <c r="G192" i="7"/>
  <c r="E190" i="7"/>
  <c r="E280" i="7"/>
  <c r="G23" i="7"/>
  <c r="E188" i="7"/>
  <c r="E211" i="7"/>
  <c r="G219" i="7"/>
  <c r="E282" i="7"/>
  <c r="E208" i="7"/>
  <c r="G267" i="7"/>
  <c r="G283" i="7"/>
  <c r="G218" i="7"/>
  <c r="H21" i="7"/>
  <c r="G272" i="7"/>
  <c r="H272" i="7" s="1"/>
  <c r="E184" i="7"/>
  <c r="G115" i="7"/>
  <c r="H115" i="7" s="1"/>
  <c r="E305" i="7"/>
  <c r="E195" i="7"/>
  <c r="E288" i="7"/>
  <c r="E17" i="7"/>
  <c r="G304" i="7"/>
  <c r="E119" i="7"/>
  <c r="E276" i="7"/>
  <c r="E118" i="7"/>
  <c r="E212" i="7"/>
  <c r="E20" i="7"/>
  <c r="E182" i="7"/>
  <c r="E284" i="7"/>
  <c r="G25" i="7"/>
  <c r="H25" i="7" s="1"/>
  <c r="E296" i="7"/>
  <c r="F296" i="7" s="1"/>
  <c r="E215" i="7"/>
  <c r="E279" i="7"/>
  <c r="G279" i="7"/>
  <c r="G16" i="7"/>
  <c r="H20" i="7" s="1"/>
  <c r="E16" i="7"/>
  <c r="G275" i="7"/>
  <c r="E275" i="7"/>
  <c r="G207" i="7"/>
  <c r="E207" i="7"/>
  <c r="G122" i="7"/>
  <c r="E122" i="7"/>
  <c r="E196" i="7"/>
  <c r="G196" i="7"/>
  <c r="G216" i="7"/>
  <c r="E216" i="7"/>
  <c r="G204" i="7"/>
  <c r="E204" i="7"/>
  <c r="G183" i="7"/>
  <c r="E183" i="7"/>
  <c r="E114" i="7"/>
  <c r="G114" i="7"/>
  <c r="H114" i="7" s="1"/>
  <c r="E191" i="7"/>
  <c r="G191" i="7"/>
  <c r="G271" i="7"/>
  <c r="E271" i="7"/>
  <c r="E187" i="7"/>
  <c r="G187" i="7"/>
  <c r="G123" i="7"/>
  <c r="E123" i="7"/>
  <c r="E24" i="7"/>
  <c r="G24" i="7"/>
  <c r="G220" i="7"/>
  <c r="E220" i="7"/>
  <c r="E224" i="7"/>
  <c r="G224" i="7"/>
  <c r="G270" i="7"/>
  <c r="E270" i="7"/>
  <c r="G210" i="7"/>
  <c r="E210" i="7"/>
  <c r="G202" i="7"/>
  <c r="E202" i="7"/>
  <c r="E286" i="7"/>
  <c r="S11" i="7" l="1"/>
  <c r="U11" i="7"/>
  <c r="T11" i="7"/>
  <c r="V11" i="7"/>
  <c r="J6" i="11"/>
  <c r="J6" i="12"/>
  <c r="G117" i="7"/>
  <c r="E222" i="7"/>
  <c r="G299" i="7"/>
  <c r="H303" i="7" s="1"/>
  <c r="E15" i="7"/>
  <c r="F15" i="7" s="1"/>
  <c r="E262" i="7"/>
  <c r="V12" i="7"/>
  <c r="T12" i="7"/>
  <c r="U12" i="7"/>
  <c r="S12" i="7"/>
  <c r="R13" i="7"/>
  <c r="G206" i="7"/>
  <c r="H23" i="7"/>
  <c r="E198" i="7"/>
  <c r="G113" i="7"/>
  <c r="H113" i="7" s="1"/>
  <c r="G194" i="7"/>
  <c r="F21" i="7"/>
  <c r="L234" i="7" a="1"/>
  <c r="L234" i="7" s="1"/>
  <c r="K234" i="7" a="1"/>
  <c r="K234" i="7" s="1"/>
  <c r="G214" i="7"/>
  <c r="E274" i="7"/>
  <c r="E303" i="7"/>
  <c r="H305" i="7"/>
  <c r="E186" i="7"/>
  <c r="H19" i="7"/>
  <c r="E121" i="7"/>
  <c r="F117" i="7" s="1"/>
  <c r="H304" i="7"/>
  <c r="E266" i="7"/>
  <c r="H300" i="7"/>
  <c r="F301" i="7"/>
  <c r="E278" i="7"/>
  <c r="G278" i="7"/>
  <c r="H278" i="7" s="1"/>
  <c r="E295" i="7"/>
  <c r="E19" i="7"/>
  <c r="G230" i="7"/>
  <c r="E230" i="7"/>
  <c r="G234" i="7"/>
  <c r="E234" i="7"/>
  <c r="G254" i="7"/>
  <c r="E254" i="7"/>
  <c r="G250" i="7"/>
  <c r="E250" i="7"/>
  <c r="G246" i="7"/>
  <c r="E246" i="7"/>
  <c r="E238" i="7"/>
  <c r="G238" i="7"/>
  <c r="G242" i="7"/>
  <c r="E242" i="7"/>
  <c r="F54" i="7"/>
  <c r="F50" i="7"/>
  <c r="H38" i="7"/>
  <c r="F66" i="7"/>
  <c r="F59" i="7"/>
  <c r="G57" i="7"/>
  <c r="H57" i="7" s="1"/>
  <c r="E57" i="7"/>
  <c r="F47" i="7"/>
  <c r="H50" i="7"/>
  <c r="H66" i="7"/>
  <c r="E49" i="7"/>
  <c r="G49" i="7"/>
  <c r="H49" i="7" s="1"/>
  <c r="F43" i="7"/>
  <c r="F38" i="7"/>
  <c r="F39" i="7"/>
  <c r="F67" i="7"/>
  <c r="G41" i="7"/>
  <c r="H41" i="7" s="1"/>
  <c r="E41" i="7"/>
  <c r="F223" i="7"/>
  <c r="G37" i="7"/>
  <c r="H37" i="7" s="1"/>
  <c r="L38" i="7" s="1" a="1"/>
  <c r="L38" i="7" s="1"/>
  <c r="E37" i="7"/>
  <c r="H54" i="7"/>
  <c r="G45" i="7"/>
  <c r="H45" i="7" s="1"/>
  <c r="E45" i="7"/>
  <c r="F51" i="7"/>
  <c r="F55" i="7"/>
  <c r="F62" i="7"/>
  <c r="G65" i="7"/>
  <c r="H65" i="7" s="1"/>
  <c r="E65" i="7"/>
  <c r="H42" i="7"/>
  <c r="H62" i="7"/>
  <c r="G61" i="7"/>
  <c r="H61" i="7" s="1"/>
  <c r="E61" i="7"/>
  <c r="F58" i="7"/>
  <c r="F46" i="7"/>
  <c r="H276" i="7"/>
  <c r="F42" i="7"/>
  <c r="F63" i="7"/>
  <c r="G53" i="7"/>
  <c r="H53" i="7" s="1"/>
  <c r="E53" i="7"/>
  <c r="H58" i="7"/>
  <c r="H46" i="7"/>
  <c r="F305" i="7"/>
  <c r="H301" i="7"/>
  <c r="F118" i="7"/>
  <c r="F304" i="7"/>
  <c r="F24" i="7"/>
  <c r="F300" i="7"/>
  <c r="H191" i="7"/>
  <c r="F25" i="7"/>
  <c r="F220" i="7"/>
  <c r="H207" i="7"/>
  <c r="H223" i="7"/>
  <c r="H296" i="7"/>
  <c r="H199" i="7"/>
  <c r="H122" i="7"/>
  <c r="F224" i="7"/>
  <c r="H215" i="7"/>
  <c r="F297" i="7"/>
  <c r="F119" i="7"/>
  <c r="H263" i="7"/>
  <c r="L264" i="7" s="1" a="1"/>
  <c r="L264" i="7" s="1"/>
  <c r="H219" i="7"/>
  <c r="F200" i="7"/>
  <c r="F271" i="7"/>
  <c r="F264" i="7"/>
  <c r="H216" i="7"/>
  <c r="H195" i="7"/>
  <c r="F187" i="7"/>
  <c r="H183" i="7"/>
  <c r="L184" i="7" s="1" a="1"/>
  <c r="L184" i="7" s="1"/>
  <c r="F114" i="7"/>
  <c r="H203" i="7"/>
  <c r="H118" i="7"/>
  <c r="F208" i="7"/>
  <c r="F280" i="7"/>
  <c r="F284" i="7"/>
  <c r="F188" i="7"/>
  <c r="H211" i="7"/>
  <c r="H196" i="7"/>
  <c r="F192" i="7"/>
  <c r="F196" i="7"/>
  <c r="H284" i="7"/>
  <c r="F267" i="7"/>
  <c r="H288" i="7"/>
  <c r="F288" i="7"/>
  <c r="F275" i="7"/>
  <c r="F263" i="7"/>
  <c r="K264" i="7" s="1" a="1"/>
  <c r="K264" i="7" s="1"/>
  <c r="H264" i="7"/>
  <c r="F199" i="7"/>
  <c r="F272" i="7"/>
  <c r="F122" i="7"/>
  <c r="F283" i="7"/>
  <c r="F207" i="7"/>
  <c r="F279" i="7"/>
  <c r="H280" i="7"/>
  <c r="H279" i="7"/>
  <c r="H283" i="7"/>
  <c r="F215" i="7"/>
  <c r="F17" i="7"/>
  <c r="H271" i="7"/>
  <c r="H267" i="7"/>
  <c r="F216" i="7"/>
  <c r="H275" i="7"/>
  <c r="F276" i="7"/>
  <c r="F268" i="7"/>
  <c r="H287" i="7"/>
  <c r="H268" i="7"/>
  <c r="H123" i="7"/>
  <c r="F203" i="7"/>
  <c r="H184" i="7"/>
  <c r="F204" i="7"/>
  <c r="F115" i="7"/>
  <c r="F211" i="7"/>
  <c r="H295" i="7"/>
  <c r="F195" i="7"/>
  <c r="H192" i="7"/>
  <c r="F184" i="7"/>
  <c r="F219" i="7"/>
  <c r="H220" i="7"/>
  <c r="H224" i="7"/>
  <c r="F123" i="7"/>
  <c r="H208" i="7"/>
  <c r="F287" i="7"/>
  <c r="F191" i="7"/>
  <c r="H204" i="7"/>
  <c r="H24" i="7"/>
  <c r="H187" i="7"/>
  <c r="F212" i="7"/>
  <c r="H188" i="7"/>
  <c r="F183" i="7"/>
  <c r="K184" i="7" s="1" a="1"/>
  <c r="K184" i="7" s="1"/>
  <c r="F20" i="7"/>
  <c r="H200" i="7"/>
  <c r="H119" i="7"/>
  <c r="H212" i="7"/>
  <c r="F16" i="7"/>
  <c r="H16" i="7"/>
  <c r="H299" i="7"/>
  <c r="F61" i="7" l="1"/>
  <c r="H210" i="7"/>
  <c r="F23" i="7"/>
  <c r="F65" i="7"/>
  <c r="F37" i="7"/>
  <c r="K38" i="7" s="1" a="1"/>
  <c r="K38" i="7" s="1"/>
  <c r="F49" i="7"/>
  <c r="F41" i="7"/>
  <c r="F53" i="7"/>
  <c r="F45" i="7"/>
  <c r="F57" i="7"/>
  <c r="F19" i="7"/>
  <c r="F121" i="7"/>
  <c r="F194" i="7"/>
  <c r="F186" i="7"/>
  <c r="F190" i="7"/>
  <c r="F198" i="7"/>
  <c r="F202" i="7"/>
  <c r="V13" i="7"/>
  <c r="T13" i="7"/>
  <c r="U13" i="7"/>
  <c r="S13" i="7"/>
  <c r="R14" i="7"/>
  <c r="F206" i="7"/>
  <c r="F222" i="7"/>
  <c r="F218" i="7"/>
  <c r="H121" i="7"/>
  <c r="F210" i="7"/>
  <c r="H266" i="7"/>
  <c r="H262" i="7"/>
  <c r="L263" i="7" s="1" a="1"/>
  <c r="L263" i="7" s="1"/>
  <c r="F182" i="7"/>
  <c r="K183" i="7" s="1" a="1"/>
  <c r="K183" i="7" s="1"/>
  <c r="F214" i="7"/>
  <c r="H117" i="7"/>
  <c r="F113" i="7"/>
  <c r="F262" i="7"/>
  <c r="K263" i="7" s="1" a="1"/>
  <c r="K263" i="7" s="1"/>
  <c r="H274" i="7"/>
  <c r="H190" i="7"/>
  <c r="H186" i="7"/>
  <c r="H198" i="7"/>
  <c r="H182" i="7"/>
  <c r="L183" i="7" s="1" a="1"/>
  <c r="L183" i="7" s="1"/>
  <c r="H282" i="7"/>
  <c r="H286" i="7"/>
  <c r="F274" i="7"/>
  <c r="H218" i="7"/>
  <c r="H202" i="7"/>
  <c r="H194" i="7"/>
  <c r="H214" i="7"/>
  <c r="H206" i="7"/>
  <c r="H222" i="7"/>
  <c r="H238" i="7"/>
  <c r="F234" i="7"/>
  <c r="F238" i="7"/>
  <c r="H234" i="7"/>
  <c r="F246" i="7"/>
  <c r="K231" i="7" s="1" a="1"/>
  <c r="K231" i="7" s="1"/>
  <c r="F230" i="7"/>
  <c r="H246" i="7"/>
  <c r="L231" i="7" s="1" a="1"/>
  <c r="L231" i="7" s="1"/>
  <c r="H230" i="7"/>
  <c r="F250" i="7"/>
  <c r="H250" i="7"/>
  <c r="F242" i="7"/>
  <c r="F254" i="7"/>
  <c r="H242" i="7"/>
  <c r="H254" i="7"/>
  <c r="H270" i="7"/>
  <c r="F303" i="7"/>
  <c r="F278" i="7"/>
  <c r="F266" i="7"/>
  <c r="F270" i="7"/>
  <c r="F286" i="7"/>
  <c r="F282" i="7"/>
  <c r="F295" i="7"/>
  <c r="F299" i="7"/>
  <c r="L265" i="7" a="1"/>
  <c r="L265" i="7" s="1"/>
  <c r="L185" i="7" a="1"/>
  <c r="L185" i="7" s="1"/>
  <c r="K265" i="7" a="1"/>
  <c r="K265" i="7" s="1"/>
  <c r="K39" i="7" a="1"/>
  <c r="K39" i="7" s="1"/>
  <c r="K40" i="7" a="1"/>
  <c r="K40" i="7" s="1"/>
  <c r="K185" i="7" a="1"/>
  <c r="K185" i="7" s="1"/>
  <c r="L39" i="7" a="1"/>
  <c r="L39" i="7" s="1"/>
  <c r="L40" i="7" a="1"/>
  <c r="L40" i="7" s="1"/>
  <c r="R15" i="7" l="1"/>
  <c r="V14" i="7"/>
  <c r="T14" i="7"/>
  <c r="U14" i="7"/>
  <c r="S14" i="7"/>
  <c r="G75" i="4"/>
  <c r="E75" i="4"/>
  <c r="G71" i="4"/>
  <c r="E71" i="4"/>
  <c r="G67" i="4"/>
  <c r="E67" i="4"/>
  <c r="G63" i="4"/>
  <c r="E63" i="4"/>
  <c r="G59" i="4"/>
  <c r="E59" i="4"/>
  <c r="G55" i="4"/>
  <c r="E55" i="4"/>
  <c r="G47" i="4"/>
  <c r="E47" i="4"/>
  <c r="G26" i="4"/>
  <c r="E26" i="4"/>
  <c r="G22" i="4"/>
  <c r="M423" i="2"/>
  <c r="M422" i="2"/>
  <c r="M421" i="2"/>
  <c r="M420" i="2"/>
  <c r="M419" i="2"/>
  <c r="M418" i="2"/>
  <c r="M417" i="2"/>
  <c r="M416" i="2"/>
  <c r="M415" i="2"/>
  <c r="M414" i="2"/>
  <c r="M413" i="2"/>
  <c r="M412" i="2"/>
  <c r="M411" i="2"/>
  <c r="M410" i="2"/>
  <c r="M409" i="2"/>
  <c r="M408" i="2"/>
  <c r="M407" i="2"/>
  <c r="M406" i="2"/>
  <c r="M405" i="2"/>
  <c r="M404" i="2"/>
  <c r="M403" i="2"/>
  <c r="M402" i="2"/>
  <c r="M401" i="2"/>
  <c r="M400" i="2"/>
  <c r="M399" i="2"/>
  <c r="M398" i="2"/>
  <c r="M397" i="2"/>
  <c r="M396" i="2"/>
  <c r="M395" i="2"/>
  <c r="M394" i="2"/>
  <c r="M393" i="2"/>
  <c r="M392" i="2"/>
  <c r="M391" i="2"/>
  <c r="M390" i="2"/>
  <c r="M389" i="2"/>
  <c r="M388" i="2"/>
  <c r="M387" i="2"/>
  <c r="M386" i="2"/>
  <c r="M385" i="2"/>
  <c r="M384" i="2"/>
  <c r="M383" i="2"/>
  <c r="M382" i="2"/>
  <c r="M381" i="2"/>
  <c r="M380" i="2"/>
  <c r="M379" i="2"/>
  <c r="M378" i="2"/>
  <c r="M377" i="2"/>
  <c r="M376" i="2"/>
  <c r="M375" i="2"/>
  <c r="M374" i="2"/>
  <c r="M373" i="2"/>
  <c r="M372" i="2"/>
  <c r="M371" i="2"/>
  <c r="M370" i="2"/>
  <c r="M369" i="2"/>
  <c r="M368" i="2"/>
  <c r="M367" i="2"/>
  <c r="M366" i="2"/>
  <c r="M365" i="2"/>
  <c r="M364" i="2"/>
  <c r="M363" i="2"/>
  <c r="M362" i="2"/>
  <c r="M361" i="2"/>
  <c r="M360" i="2"/>
  <c r="M359" i="2"/>
  <c r="M358" i="2"/>
  <c r="M357" i="2"/>
  <c r="M356" i="2"/>
  <c r="M355" i="2"/>
  <c r="M354" i="2"/>
  <c r="M353" i="2"/>
  <c r="M352" i="2"/>
  <c r="M351" i="2"/>
  <c r="M350" i="2"/>
  <c r="M349" i="2"/>
  <c r="M348" i="2"/>
  <c r="M347" i="2"/>
  <c r="M346" i="2"/>
  <c r="M345" i="2"/>
  <c r="M344" i="2"/>
  <c r="M343" i="2"/>
  <c r="M342" i="2"/>
  <c r="M341" i="2"/>
  <c r="M340" i="2"/>
  <c r="M339" i="2"/>
  <c r="M338" i="2"/>
  <c r="M337" i="2"/>
  <c r="M336" i="2"/>
  <c r="M335" i="2"/>
  <c r="M334" i="2"/>
  <c r="M333" i="2"/>
  <c r="M332" i="2"/>
  <c r="M331" i="2"/>
  <c r="M330" i="2"/>
  <c r="M329" i="2"/>
  <c r="M328" i="2"/>
  <c r="M327" i="2"/>
  <c r="M326" i="2"/>
  <c r="M325" i="2"/>
  <c r="M324" i="2"/>
  <c r="M323" i="2"/>
  <c r="M322" i="2"/>
  <c r="M321" i="2"/>
  <c r="M320" i="2"/>
  <c r="M319" i="2"/>
  <c r="M318" i="2"/>
  <c r="M317" i="2"/>
  <c r="M316" i="2"/>
  <c r="M315" i="2"/>
  <c r="M314" i="2"/>
  <c r="M313" i="2"/>
  <c r="M312" i="2"/>
  <c r="M311" i="2"/>
  <c r="M310" i="2"/>
  <c r="M309" i="2"/>
  <c r="M308" i="2"/>
  <c r="M307" i="2"/>
  <c r="M306" i="2"/>
  <c r="M305" i="2"/>
  <c r="M304" i="2"/>
  <c r="M303" i="2"/>
  <c r="M302" i="2"/>
  <c r="M301" i="2"/>
  <c r="M300" i="2"/>
  <c r="M299" i="2"/>
  <c r="M298" i="2"/>
  <c r="M297" i="2"/>
  <c r="M296" i="2"/>
  <c r="M295" i="2"/>
  <c r="M294" i="2"/>
  <c r="M293" i="2"/>
  <c r="M292" i="2"/>
  <c r="M291" i="2"/>
  <c r="M290" i="2"/>
  <c r="M289" i="2"/>
  <c r="M288" i="2"/>
  <c r="M287" i="2"/>
  <c r="M286" i="2"/>
  <c r="M285" i="2"/>
  <c r="M284" i="2"/>
  <c r="M283" i="2"/>
  <c r="M282" i="2"/>
  <c r="M281" i="2"/>
  <c r="M280" i="2"/>
  <c r="M279" i="2"/>
  <c r="M278" i="2"/>
  <c r="M277" i="2"/>
  <c r="M276" i="2"/>
  <c r="M275" i="2"/>
  <c r="M274" i="2"/>
  <c r="M273" i="2"/>
  <c r="M272" i="2"/>
  <c r="M271" i="2"/>
  <c r="M270" i="2"/>
  <c r="M269" i="2"/>
  <c r="M268" i="2"/>
  <c r="M267" i="2"/>
  <c r="M266" i="2"/>
  <c r="M265" i="2"/>
  <c r="M264" i="2"/>
  <c r="M263" i="2"/>
  <c r="M262" i="2"/>
  <c r="M261" i="2"/>
  <c r="M260" i="2"/>
  <c r="M259" i="2"/>
  <c r="M258" i="2"/>
  <c r="M257" i="2"/>
  <c r="M256" i="2"/>
  <c r="M255" i="2"/>
  <c r="M254" i="2"/>
  <c r="M253" i="2"/>
  <c r="M252" i="2"/>
  <c r="M251" i="2"/>
  <c r="M250" i="2"/>
  <c r="M249" i="2"/>
  <c r="M248" i="2"/>
  <c r="M247" i="2"/>
  <c r="M246" i="2"/>
  <c r="M245" i="2"/>
  <c r="M244" i="2"/>
  <c r="M243" i="2"/>
  <c r="M242" i="2"/>
  <c r="M241" i="2"/>
  <c r="M240" i="2"/>
  <c r="M239" i="2"/>
  <c r="M238" i="2"/>
  <c r="M237" i="2"/>
  <c r="M236" i="2"/>
  <c r="M235" i="2"/>
  <c r="M234" i="2"/>
  <c r="M233" i="2"/>
  <c r="M232" i="2"/>
  <c r="M231" i="2"/>
  <c r="M230" i="2"/>
  <c r="M229" i="2"/>
  <c r="M228" i="2"/>
  <c r="M227" i="2"/>
  <c r="M226" i="2"/>
  <c r="M225" i="2"/>
  <c r="M224" i="2"/>
  <c r="M223" i="2"/>
  <c r="M222" i="2"/>
  <c r="M221" i="2"/>
  <c r="M220" i="2"/>
  <c r="M219" i="2"/>
  <c r="M218" i="2"/>
  <c r="M217" i="2"/>
  <c r="M216" i="2"/>
  <c r="M215" i="2"/>
  <c r="M214" i="2"/>
  <c r="M213" i="2"/>
  <c r="M212" i="2"/>
  <c r="M211" i="2"/>
  <c r="M210" i="2"/>
  <c r="M209" i="2"/>
  <c r="M208" i="2"/>
  <c r="M207" i="2"/>
  <c r="M206" i="2"/>
  <c r="M205" i="2"/>
  <c r="M204" i="2"/>
  <c r="M203" i="2"/>
  <c r="M202" i="2"/>
  <c r="M201" i="2"/>
  <c r="M200" i="2"/>
  <c r="M199" i="2"/>
  <c r="M198" i="2"/>
  <c r="M197" i="2"/>
  <c r="M196" i="2"/>
  <c r="M195" i="2"/>
  <c r="M194" i="2"/>
  <c r="M193" i="2"/>
  <c r="M192" i="2"/>
  <c r="M191" i="2"/>
  <c r="M190" i="2"/>
  <c r="M189" i="2"/>
  <c r="M188" i="2"/>
  <c r="M187" i="2"/>
  <c r="M186" i="2"/>
  <c r="M185" i="2"/>
  <c r="M184" i="2"/>
  <c r="M183" i="2"/>
  <c r="M182" i="2"/>
  <c r="M181" i="2"/>
  <c r="M180" i="2"/>
  <c r="M179" i="2"/>
  <c r="M178" i="2"/>
  <c r="M177" i="2"/>
  <c r="M176" i="2"/>
  <c r="M175" i="2"/>
  <c r="M174" i="2"/>
  <c r="M173" i="2"/>
  <c r="M172" i="2"/>
  <c r="M171" i="2"/>
  <c r="M170" i="2"/>
  <c r="M169" i="2"/>
  <c r="M168" i="2"/>
  <c r="M167" i="2"/>
  <c r="M166" i="2"/>
  <c r="M165" i="2"/>
  <c r="M164" i="2"/>
  <c r="M163" i="2"/>
  <c r="M162" i="2"/>
  <c r="M161" i="2"/>
  <c r="M160" i="2"/>
  <c r="M159" i="2"/>
  <c r="M158" i="2"/>
  <c r="M157" i="2"/>
  <c r="M156" i="2"/>
  <c r="M155" i="2"/>
  <c r="M154" i="2"/>
  <c r="M153" i="2"/>
  <c r="M152" i="2"/>
  <c r="M151" i="2"/>
  <c r="M150" i="2"/>
  <c r="M149" i="2"/>
  <c r="M148" i="2"/>
  <c r="M147" i="2"/>
  <c r="M146" i="2"/>
  <c r="M145" i="2"/>
  <c r="M144" i="2"/>
  <c r="M143" i="2"/>
  <c r="M142" i="2"/>
  <c r="M141" i="2"/>
  <c r="M140" i="2"/>
  <c r="M139" i="2"/>
  <c r="M138" i="2"/>
  <c r="M137" i="2"/>
  <c r="M136" i="2"/>
  <c r="M135" i="2"/>
  <c r="M134" i="2"/>
  <c r="M133" i="2"/>
  <c r="M132" i="2"/>
  <c r="M131" i="2"/>
  <c r="M130" i="2"/>
  <c r="M129" i="2"/>
  <c r="M128" i="2"/>
  <c r="M127" i="2"/>
  <c r="M126" i="2"/>
  <c r="M125" i="2"/>
  <c r="M124" i="2"/>
  <c r="M123" i="2"/>
  <c r="M122" i="2"/>
  <c r="M121" i="2"/>
  <c r="M120" i="2"/>
  <c r="M119" i="2"/>
  <c r="M118" i="2"/>
  <c r="M117" i="2"/>
  <c r="M116" i="2"/>
  <c r="M115" i="2"/>
  <c r="M114" i="2"/>
  <c r="M113" i="2"/>
  <c r="M112" i="2"/>
  <c r="M111" i="2"/>
  <c r="M110" i="2"/>
  <c r="M109" i="2"/>
  <c r="M108" i="2"/>
  <c r="M107" i="2"/>
  <c r="M106" i="2"/>
  <c r="M105" i="2"/>
  <c r="M104" i="2"/>
  <c r="M103" i="2"/>
  <c r="M102" i="2"/>
  <c r="M101" i="2"/>
  <c r="M100" i="2"/>
  <c r="M99" i="2"/>
  <c r="M98" i="2"/>
  <c r="M97" i="2"/>
  <c r="M96" i="2"/>
  <c r="M95" i="2"/>
  <c r="M94" i="2"/>
  <c r="M93" i="2"/>
  <c r="M92" i="2"/>
  <c r="M91" i="2"/>
  <c r="M90" i="2"/>
  <c r="M89" i="2"/>
  <c r="M88" i="2"/>
  <c r="M87" i="2"/>
  <c r="M86" i="2"/>
  <c r="M85" i="2"/>
  <c r="M84" i="2"/>
  <c r="M83" i="2"/>
  <c r="M82" i="2"/>
  <c r="M81" i="2"/>
  <c r="M80" i="2"/>
  <c r="M79" i="2"/>
  <c r="M78" i="2"/>
  <c r="M77" i="2"/>
  <c r="M76" i="2"/>
  <c r="M75" i="2"/>
  <c r="M74" i="2"/>
  <c r="M73" i="2"/>
  <c r="M72" i="2"/>
  <c r="M71" i="2"/>
  <c r="M70" i="2"/>
  <c r="M69" i="2"/>
  <c r="M68" i="2"/>
  <c r="M67" i="2"/>
  <c r="M66" i="2"/>
  <c r="M65" i="2"/>
  <c r="M64" i="2"/>
  <c r="M63" i="2"/>
  <c r="M62" i="2"/>
  <c r="M61" i="2"/>
  <c r="M60" i="2"/>
  <c r="M59" i="2"/>
  <c r="M58" i="2"/>
  <c r="M57" i="2"/>
  <c r="M56" i="2"/>
  <c r="M55" i="2"/>
  <c r="M54" i="2"/>
  <c r="M53" i="2"/>
  <c r="M52" i="2"/>
  <c r="M51" i="2"/>
  <c r="M50" i="2"/>
  <c r="M49" i="2"/>
  <c r="M48" i="2"/>
  <c r="M47" i="2"/>
  <c r="M46" i="2"/>
  <c r="M45" i="2"/>
  <c r="M44" i="2"/>
  <c r="M43" i="2"/>
  <c r="M42" i="2"/>
  <c r="M41" i="2"/>
  <c r="M40" i="2"/>
  <c r="M39" i="2"/>
  <c r="M38" i="2"/>
  <c r="M37" i="2"/>
  <c r="M36" i="2"/>
  <c r="M35" i="2"/>
  <c r="M34" i="2"/>
  <c r="M33" i="2"/>
  <c r="M32" i="2"/>
  <c r="M31" i="2"/>
  <c r="M30" i="2"/>
  <c r="M29" i="2"/>
  <c r="M28" i="2"/>
  <c r="M27" i="2"/>
  <c r="M26" i="2"/>
  <c r="M25" i="2"/>
  <c r="M24" i="2"/>
  <c r="M23" i="2"/>
  <c r="M22" i="2"/>
  <c r="M21" i="2"/>
  <c r="M20" i="2"/>
  <c r="M19" i="2"/>
  <c r="M18" i="2"/>
  <c r="M17" i="2"/>
  <c r="M16" i="2"/>
  <c r="M15" i="2"/>
  <c r="J423" i="2"/>
  <c r="I423" i="2"/>
  <c r="J422" i="2"/>
  <c r="I422" i="2"/>
  <c r="J421" i="2"/>
  <c r="I421" i="2"/>
  <c r="J420" i="2"/>
  <c r="I420" i="2"/>
  <c r="J419" i="2"/>
  <c r="I419" i="2"/>
  <c r="J418" i="2"/>
  <c r="I418" i="2"/>
  <c r="J417" i="2"/>
  <c r="I417" i="2"/>
  <c r="J416" i="2"/>
  <c r="I416" i="2"/>
  <c r="J415" i="2"/>
  <c r="I415" i="2"/>
  <c r="J414" i="2"/>
  <c r="I414" i="2"/>
  <c r="J413" i="2"/>
  <c r="I413" i="2"/>
  <c r="J412" i="2"/>
  <c r="I412" i="2"/>
  <c r="J411" i="2"/>
  <c r="I411" i="2"/>
  <c r="J410" i="2"/>
  <c r="I410" i="2"/>
  <c r="J409" i="2"/>
  <c r="I409" i="2"/>
  <c r="J408" i="2"/>
  <c r="I408" i="2"/>
  <c r="J407" i="2"/>
  <c r="I407" i="2"/>
  <c r="J406" i="2"/>
  <c r="I406" i="2"/>
  <c r="J405" i="2"/>
  <c r="I405" i="2"/>
  <c r="J404" i="2"/>
  <c r="I404" i="2"/>
  <c r="J403" i="2"/>
  <c r="I403" i="2"/>
  <c r="J402" i="2"/>
  <c r="I402" i="2"/>
  <c r="J401" i="2"/>
  <c r="I401" i="2"/>
  <c r="J400" i="2"/>
  <c r="I400" i="2"/>
  <c r="J399" i="2"/>
  <c r="I399" i="2"/>
  <c r="J398" i="2"/>
  <c r="I398" i="2"/>
  <c r="J397" i="2"/>
  <c r="I397" i="2"/>
  <c r="J396" i="2"/>
  <c r="I396" i="2"/>
  <c r="J395" i="2"/>
  <c r="I395" i="2"/>
  <c r="J394" i="2"/>
  <c r="I394" i="2"/>
  <c r="J393" i="2"/>
  <c r="I393" i="2"/>
  <c r="J392" i="2"/>
  <c r="I392" i="2"/>
  <c r="J391" i="2"/>
  <c r="I391" i="2"/>
  <c r="J390" i="2"/>
  <c r="I390" i="2"/>
  <c r="J389" i="2"/>
  <c r="I389" i="2"/>
  <c r="J388" i="2"/>
  <c r="I388" i="2"/>
  <c r="J387" i="2"/>
  <c r="I387" i="2"/>
  <c r="J386" i="2"/>
  <c r="I386" i="2"/>
  <c r="J385" i="2"/>
  <c r="I385" i="2"/>
  <c r="J384" i="2"/>
  <c r="I384" i="2"/>
  <c r="J383" i="2"/>
  <c r="I383" i="2"/>
  <c r="J382" i="2"/>
  <c r="I382" i="2"/>
  <c r="J381" i="2"/>
  <c r="I381" i="2"/>
  <c r="J380" i="2"/>
  <c r="I380" i="2"/>
  <c r="J379" i="2"/>
  <c r="I379" i="2"/>
  <c r="J378" i="2"/>
  <c r="I378" i="2"/>
  <c r="J377" i="2"/>
  <c r="I377" i="2"/>
  <c r="J376" i="2"/>
  <c r="I376" i="2"/>
  <c r="J375" i="2"/>
  <c r="I375" i="2"/>
  <c r="J374" i="2"/>
  <c r="I374" i="2"/>
  <c r="J373" i="2"/>
  <c r="I373" i="2"/>
  <c r="J372" i="2"/>
  <c r="I372" i="2"/>
  <c r="J371" i="2"/>
  <c r="I371" i="2"/>
  <c r="J370" i="2"/>
  <c r="I370" i="2"/>
  <c r="J369" i="2"/>
  <c r="I369" i="2"/>
  <c r="J368" i="2"/>
  <c r="I368" i="2"/>
  <c r="J367" i="2"/>
  <c r="I367" i="2"/>
  <c r="J366" i="2"/>
  <c r="I366" i="2"/>
  <c r="J365" i="2"/>
  <c r="I365" i="2"/>
  <c r="J364" i="2"/>
  <c r="I364" i="2"/>
  <c r="J363" i="2"/>
  <c r="I363" i="2"/>
  <c r="J362" i="2"/>
  <c r="I362" i="2"/>
  <c r="J361" i="2"/>
  <c r="I361" i="2"/>
  <c r="J360" i="2"/>
  <c r="I360" i="2"/>
  <c r="J359" i="2"/>
  <c r="I359" i="2"/>
  <c r="J358" i="2"/>
  <c r="I358" i="2"/>
  <c r="J357" i="2"/>
  <c r="I357" i="2"/>
  <c r="J356" i="2"/>
  <c r="I356" i="2"/>
  <c r="J355" i="2"/>
  <c r="I355" i="2"/>
  <c r="J354" i="2"/>
  <c r="I354" i="2"/>
  <c r="J353" i="2"/>
  <c r="I353" i="2"/>
  <c r="J352" i="2"/>
  <c r="I352" i="2"/>
  <c r="J351" i="2"/>
  <c r="I351" i="2"/>
  <c r="J350" i="2"/>
  <c r="I350" i="2"/>
  <c r="J349" i="2"/>
  <c r="I349" i="2"/>
  <c r="J348" i="2"/>
  <c r="I348" i="2"/>
  <c r="J347" i="2"/>
  <c r="I347" i="2"/>
  <c r="J346" i="2"/>
  <c r="I346" i="2"/>
  <c r="J345" i="2"/>
  <c r="I345" i="2"/>
  <c r="J344" i="2"/>
  <c r="I344" i="2"/>
  <c r="J343" i="2"/>
  <c r="I343" i="2"/>
  <c r="J342" i="2"/>
  <c r="I342" i="2"/>
  <c r="J341" i="2"/>
  <c r="I341" i="2"/>
  <c r="J340" i="2"/>
  <c r="I340" i="2"/>
  <c r="J339" i="2"/>
  <c r="I339" i="2"/>
  <c r="J338" i="2"/>
  <c r="I338" i="2"/>
  <c r="J337" i="2"/>
  <c r="I337" i="2"/>
  <c r="J336" i="2"/>
  <c r="I336" i="2"/>
  <c r="J335" i="2"/>
  <c r="I335" i="2"/>
  <c r="J334" i="2"/>
  <c r="I334" i="2"/>
  <c r="J333" i="2"/>
  <c r="I333" i="2"/>
  <c r="J332" i="2"/>
  <c r="I332" i="2"/>
  <c r="J331" i="2"/>
  <c r="I331" i="2"/>
  <c r="J330" i="2"/>
  <c r="I330" i="2"/>
  <c r="J329" i="2"/>
  <c r="I329" i="2"/>
  <c r="J328" i="2"/>
  <c r="I328" i="2"/>
  <c r="J327" i="2"/>
  <c r="I327" i="2"/>
  <c r="J326" i="2"/>
  <c r="I326" i="2"/>
  <c r="J325" i="2"/>
  <c r="I325" i="2"/>
  <c r="J324" i="2"/>
  <c r="I324" i="2"/>
  <c r="J323" i="2"/>
  <c r="I323" i="2"/>
  <c r="J322" i="2"/>
  <c r="I322" i="2"/>
  <c r="J321" i="2"/>
  <c r="I321" i="2"/>
  <c r="J320" i="2"/>
  <c r="I320" i="2"/>
  <c r="J319" i="2"/>
  <c r="I319" i="2"/>
  <c r="J318" i="2"/>
  <c r="I318" i="2"/>
  <c r="J317" i="2"/>
  <c r="I317" i="2"/>
  <c r="J316" i="2"/>
  <c r="I316" i="2"/>
  <c r="J315" i="2"/>
  <c r="I315" i="2"/>
  <c r="J314" i="2"/>
  <c r="I314" i="2"/>
  <c r="J313" i="2"/>
  <c r="I313" i="2"/>
  <c r="J312" i="2"/>
  <c r="I312" i="2"/>
  <c r="J311" i="2"/>
  <c r="I311" i="2"/>
  <c r="J310" i="2"/>
  <c r="I310" i="2"/>
  <c r="J309" i="2"/>
  <c r="I309" i="2"/>
  <c r="J308" i="2"/>
  <c r="I308" i="2"/>
  <c r="J307" i="2"/>
  <c r="I307" i="2"/>
  <c r="J306" i="2"/>
  <c r="I306" i="2"/>
  <c r="J305" i="2"/>
  <c r="I305" i="2"/>
  <c r="J304" i="2"/>
  <c r="I304" i="2"/>
  <c r="J303" i="2"/>
  <c r="I303" i="2"/>
  <c r="J302" i="2"/>
  <c r="I302" i="2"/>
  <c r="J301" i="2"/>
  <c r="I301" i="2"/>
  <c r="J300" i="2"/>
  <c r="I300" i="2"/>
  <c r="J299" i="2"/>
  <c r="I299" i="2"/>
  <c r="J298" i="2"/>
  <c r="I298" i="2"/>
  <c r="J297" i="2"/>
  <c r="I297" i="2"/>
  <c r="J296" i="2"/>
  <c r="I296" i="2"/>
  <c r="J295" i="2"/>
  <c r="I295" i="2"/>
  <c r="J294" i="2"/>
  <c r="I294" i="2"/>
  <c r="J293" i="2"/>
  <c r="I293" i="2"/>
  <c r="J292" i="2"/>
  <c r="I292" i="2"/>
  <c r="J291" i="2"/>
  <c r="I291" i="2"/>
  <c r="J290" i="2"/>
  <c r="I290" i="2"/>
  <c r="J289" i="2"/>
  <c r="I289" i="2"/>
  <c r="J288" i="2"/>
  <c r="I288" i="2"/>
  <c r="J287" i="2"/>
  <c r="I287" i="2"/>
  <c r="J286" i="2"/>
  <c r="I286" i="2"/>
  <c r="J285" i="2"/>
  <c r="I285" i="2"/>
  <c r="J284" i="2"/>
  <c r="I284" i="2"/>
  <c r="J283" i="2"/>
  <c r="I283" i="2"/>
  <c r="J282" i="2"/>
  <c r="I282" i="2"/>
  <c r="J281" i="2"/>
  <c r="I281" i="2"/>
  <c r="J280" i="2"/>
  <c r="I280" i="2"/>
  <c r="J279" i="2"/>
  <c r="I279" i="2"/>
  <c r="J278" i="2"/>
  <c r="I278" i="2"/>
  <c r="J277" i="2"/>
  <c r="I277" i="2"/>
  <c r="J276" i="2"/>
  <c r="I276" i="2"/>
  <c r="J275" i="2"/>
  <c r="I275" i="2"/>
  <c r="J274" i="2"/>
  <c r="I274" i="2"/>
  <c r="J273" i="2"/>
  <c r="I273" i="2"/>
  <c r="J272" i="2"/>
  <c r="I272" i="2"/>
  <c r="J271" i="2"/>
  <c r="I271" i="2"/>
  <c r="J270" i="2"/>
  <c r="I270" i="2"/>
  <c r="J269" i="2"/>
  <c r="I269" i="2"/>
  <c r="J268" i="2"/>
  <c r="I268" i="2"/>
  <c r="J267" i="2"/>
  <c r="I267" i="2"/>
  <c r="J266" i="2"/>
  <c r="I266" i="2"/>
  <c r="J265" i="2"/>
  <c r="I265" i="2"/>
  <c r="J264" i="2"/>
  <c r="I264" i="2"/>
  <c r="J263" i="2"/>
  <c r="I263" i="2"/>
  <c r="J262" i="2"/>
  <c r="I262" i="2"/>
  <c r="J261" i="2"/>
  <c r="I261" i="2"/>
  <c r="J260" i="2"/>
  <c r="I260" i="2"/>
  <c r="J259" i="2"/>
  <c r="I259" i="2"/>
  <c r="J258" i="2"/>
  <c r="I258" i="2"/>
  <c r="J257" i="2"/>
  <c r="I257" i="2"/>
  <c r="J256" i="2"/>
  <c r="I256" i="2"/>
  <c r="J255" i="2"/>
  <c r="I255" i="2"/>
  <c r="J254" i="2"/>
  <c r="I254" i="2"/>
  <c r="J253" i="2"/>
  <c r="I253" i="2"/>
  <c r="J252" i="2"/>
  <c r="I252" i="2"/>
  <c r="J251" i="2"/>
  <c r="I251" i="2"/>
  <c r="J250" i="2"/>
  <c r="I250" i="2"/>
  <c r="J249" i="2"/>
  <c r="I249" i="2"/>
  <c r="J248" i="2"/>
  <c r="I248" i="2"/>
  <c r="J247" i="2"/>
  <c r="I247" i="2"/>
  <c r="J246" i="2"/>
  <c r="I246" i="2"/>
  <c r="J245" i="2"/>
  <c r="I245" i="2"/>
  <c r="J244" i="2"/>
  <c r="I244" i="2"/>
  <c r="J243" i="2"/>
  <c r="I243" i="2"/>
  <c r="J242" i="2"/>
  <c r="I242" i="2"/>
  <c r="J241" i="2"/>
  <c r="I241" i="2"/>
  <c r="J240" i="2"/>
  <c r="I240" i="2"/>
  <c r="J239" i="2"/>
  <c r="I239" i="2"/>
  <c r="J238" i="2"/>
  <c r="I238" i="2"/>
  <c r="J237" i="2"/>
  <c r="I237" i="2"/>
  <c r="J236" i="2"/>
  <c r="I236" i="2"/>
  <c r="J235" i="2"/>
  <c r="I235" i="2"/>
  <c r="J234" i="2"/>
  <c r="I234" i="2"/>
  <c r="J233" i="2"/>
  <c r="I233" i="2"/>
  <c r="J232" i="2"/>
  <c r="I232" i="2"/>
  <c r="J231" i="2"/>
  <c r="I231" i="2"/>
  <c r="J230" i="2"/>
  <c r="I230" i="2"/>
  <c r="J229" i="2"/>
  <c r="I229" i="2"/>
  <c r="J228" i="2"/>
  <c r="I228" i="2"/>
  <c r="J227" i="2"/>
  <c r="I227" i="2"/>
  <c r="J226" i="2"/>
  <c r="I226" i="2"/>
  <c r="J225" i="2"/>
  <c r="I225" i="2"/>
  <c r="J224" i="2"/>
  <c r="I224" i="2"/>
  <c r="J223" i="2"/>
  <c r="I223" i="2"/>
  <c r="J222" i="2"/>
  <c r="I222" i="2"/>
  <c r="J221" i="2"/>
  <c r="I221" i="2"/>
  <c r="J220" i="2"/>
  <c r="I220" i="2"/>
  <c r="J219" i="2"/>
  <c r="I219" i="2"/>
  <c r="J218" i="2"/>
  <c r="I218" i="2"/>
  <c r="J217" i="2"/>
  <c r="I217" i="2"/>
  <c r="J216" i="2"/>
  <c r="I216" i="2"/>
  <c r="J215" i="2"/>
  <c r="I215" i="2"/>
  <c r="J214" i="2"/>
  <c r="I214" i="2"/>
  <c r="J213" i="2"/>
  <c r="I213" i="2"/>
  <c r="J212" i="2"/>
  <c r="I212" i="2"/>
  <c r="J211" i="2"/>
  <c r="I211" i="2"/>
  <c r="J210" i="2"/>
  <c r="I210" i="2"/>
  <c r="J209" i="2"/>
  <c r="I209" i="2"/>
  <c r="J208" i="2"/>
  <c r="I208" i="2"/>
  <c r="J207" i="2"/>
  <c r="I207" i="2"/>
  <c r="J206" i="2"/>
  <c r="I206" i="2"/>
  <c r="J205" i="2"/>
  <c r="I205" i="2"/>
  <c r="J204" i="2"/>
  <c r="I204" i="2"/>
  <c r="J203" i="2"/>
  <c r="I203" i="2"/>
  <c r="J202" i="2"/>
  <c r="I202" i="2"/>
  <c r="J201" i="2"/>
  <c r="I201" i="2"/>
  <c r="J200" i="2"/>
  <c r="I200" i="2"/>
  <c r="J199" i="2"/>
  <c r="I199" i="2"/>
  <c r="J198" i="2"/>
  <c r="I198" i="2"/>
  <c r="J197" i="2"/>
  <c r="I197" i="2"/>
  <c r="J196" i="2"/>
  <c r="I196" i="2"/>
  <c r="J195" i="2"/>
  <c r="I195" i="2"/>
  <c r="J194" i="2"/>
  <c r="I194" i="2"/>
  <c r="J193" i="2"/>
  <c r="I193" i="2"/>
  <c r="J192" i="2"/>
  <c r="I192" i="2"/>
  <c r="J191" i="2"/>
  <c r="I191" i="2"/>
  <c r="J190" i="2"/>
  <c r="I190" i="2"/>
  <c r="J189" i="2"/>
  <c r="I189" i="2"/>
  <c r="J188" i="2"/>
  <c r="I188" i="2"/>
  <c r="J187" i="2"/>
  <c r="I187" i="2"/>
  <c r="J186" i="2"/>
  <c r="I186" i="2"/>
  <c r="J185" i="2"/>
  <c r="I185" i="2"/>
  <c r="J184" i="2"/>
  <c r="I184" i="2"/>
  <c r="J183" i="2"/>
  <c r="I183" i="2"/>
  <c r="J182" i="2"/>
  <c r="I182" i="2"/>
  <c r="J181" i="2"/>
  <c r="I181" i="2"/>
  <c r="J180" i="2"/>
  <c r="I180" i="2"/>
  <c r="J179" i="2"/>
  <c r="I179" i="2"/>
  <c r="J178" i="2"/>
  <c r="I178" i="2"/>
  <c r="J177" i="2"/>
  <c r="I177" i="2"/>
  <c r="J176" i="2"/>
  <c r="I176" i="2"/>
  <c r="J175" i="2"/>
  <c r="I175" i="2"/>
  <c r="J174" i="2"/>
  <c r="I174" i="2"/>
  <c r="J173" i="2"/>
  <c r="I173" i="2"/>
  <c r="J172" i="2"/>
  <c r="I172" i="2"/>
  <c r="J171" i="2"/>
  <c r="I171" i="2"/>
  <c r="J170" i="2"/>
  <c r="I170" i="2"/>
  <c r="J169" i="2"/>
  <c r="I169" i="2"/>
  <c r="J168" i="2"/>
  <c r="I168" i="2"/>
  <c r="J167" i="2"/>
  <c r="I167" i="2"/>
  <c r="J166" i="2"/>
  <c r="I166" i="2"/>
  <c r="J165" i="2"/>
  <c r="I165" i="2"/>
  <c r="J164" i="2"/>
  <c r="I164" i="2"/>
  <c r="J163" i="2"/>
  <c r="I163" i="2"/>
  <c r="J162" i="2"/>
  <c r="I162" i="2"/>
  <c r="J161" i="2"/>
  <c r="I161" i="2"/>
  <c r="J160" i="2"/>
  <c r="I160" i="2"/>
  <c r="J159" i="2"/>
  <c r="I159" i="2"/>
  <c r="J158" i="2"/>
  <c r="I158" i="2"/>
  <c r="J157" i="2"/>
  <c r="I157" i="2"/>
  <c r="J156" i="2"/>
  <c r="I156" i="2"/>
  <c r="J155" i="2"/>
  <c r="I155" i="2"/>
  <c r="J154" i="2"/>
  <c r="I154" i="2"/>
  <c r="J153" i="2"/>
  <c r="I153" i="2"/>
  <c r="J152" i="2"/>
  <c r="I152" i="2"/>
  <c r="J151" i="2"/>
  <c r="I151" i="2"/>
  <c r="J150" i="2"/>
  <c r="I150" i="2"/>
  <c r="J149" i="2"/>
  <c r="I149" i="2"/>
  <c r="J148" i="2"/>
  <c r="I148" i="2"/>
  <c r="J147" i="2"/>
  <c r="I147" i="2"/>
  <c r="J146" i="2"/>
  <c r="I146" i="2"/>
  <c r="J145" i="2"/>
  <c r="I145" i="2"/>
  <c r="J144" i="2"/>
  <c r="I144" i="2"/>
  <c r="J143" i="2"/>
  <c r="I143" i="2"/>
  <c r="J142" i="2"/>
  <c r="I142" i="2"/>
  <c r="J141" i="2"/>
  <c r="I141" i="2"/>
  <c r="J140" i="2"/>
  <c r="I140" i="2"/>
  <c r="J139" i="2"/>
  <c r="I139" i="2"/>
  <c r="J138" i="2"/>
  <c r="I138" i="2"/>
  <c r="J137" i="2"/>
  <c r="I137" i="2"/>
  <c r="J136" i="2"/>
  <c r="I136" i="2"/>
  <c r="J135" i="2"/>
  <c r="I135" i="2"/>
  <c r="J134" i="2"/>
  <c r="I134" i="2"/>
  <c r="J133" i="2"/>
  <c r="I133" i="2"/>
  <c r="J132" i="2"/>
  <c r="I132" i="2"/>
  <c r="J131" i="2"/>
  <c r="I131" i="2"/>
  <c r="J130" i="2"/>
  <c r="I130" i="2"/>
  <c r="J129" i="2"/>
  <c r="I129" i="2"/>
  <c r="J128" i="2"/>
  <c r="I128" i="2"/>
  <c r="J127" i="2"/>
  <c r="I127" i="2"/>
  <c r="J126" i="2"/>
  <c r="I126" i="2"/>
  <c r="J125" i="2"/>
  <c r="I125" i="2"/>
  <c r="J124" i="2"/>
  <c r="I124" i="2"/>
  <c r="J123" i="2"/>
  <c r="I123" i="2"/>
  <c r="J122" i="2"/>
  <c r="I122" i="2"/>
  <c r="J121" i="2"/>
  <c r="I121" i="2"/>
  <c r="J120" i="2"/>
  <c r="I120" i="2"/>
  <c r="J119" i="2"/>
  <c r="I119" i="2"/>
  <c r="J118" i="2"/>
  <c r="I118" i="2"/>
  <c r="J117" i="2"/>
  <c r="I117" i="2"/>
  <c r="J116" i="2"/>
  <c r="I116" i="2"/>
  <c r="J115" i="2"/>
  <c r="I115" i="2"/>
  <c r="J114" i="2"/>
  <c r="I114" i="2"/>
  <c r="J113" i="2"/>
  <c r="I113" i="2"/>
  <c r="J112" i="2"/>
  <c r="I112" i="2"/>
  <c r="J111" i="2"/>
  <c r="I111" i="2"/>
  <c r="J110" i="2"/>
  <c r="I110" i="2"/>
  <c r="J109" i="2"/>
  <c r="I109" i="2"/>
  <c r="J108" i="2"/>
  <c r="I108" i="2"/>
  <c r="J107" i="2"/>
  <c r="I107" i="2"/>
  <c r="J106" i="2"/>
  <c r="I106" i="2"/>
  <c r="J105" i="2"/>
  <c r="I105" i="2"/>
  <c r="J104" i="2"/>
  <c r="I104" i="2"/>
  <c r="J103" i="2"/>
  <c r="I103" i="2"/>
  <c r="J102" i="2"/>
  <c r="I102" i="2"/>
  <c r="J101" i="2"/>
  <c r="I101" i="2"/>
  <c r="J100" i="2"/>
  <c r="I100" i="2"/>
  <c r="J99" i="2"/>
  <c r="I99" i="2"/>
  <c r="J98" i="2"/>
  <c r="I98" i="2"/>
  <c r="J97" i="2"/>
  <c r="I97" i="2"/>
  <c r="J96" i="2"/>
  <c r="I96" i="2"/>
  <c r="J95" i="2"/>
  <c r="I95" i="2"/>
  <c r="J94" i="2"/>
  <c r="I94" i="2"/>
  <c r="J93" i="2"/>
  <c r="I93" i="2"/>
  <c r="J92" i="2"/>
  <c r="I92" i="2"/>
  <c r="J91" i="2"/>
  <c r="I91" i="2"/>
  <c r="J90" i="2"/>
  <c r="I90" i="2"/>
  <c r="J89" i="2"/>
  <c r="I89" i="2"/>
  <c r="J88" i="2"/>
  <c r="I88" i="2"/>
  <c r="J87" i="2"/>
  <c r="I87" i="2"/>
  <c r="J86" i="2"/>
  <c r="I86" i="2"/>
  <c r="J85" i="2"/>
  <c r="I85" i="2"/>
  <c r="J84" i="2"/>
  <c r="I84" i="2"/>
  <c r="J83" i="2"/>
  <c r="I83" i="2"/>
  <c r="J82" i="2"/>
  <c r="I82" i="2"/>
  <c r="J81" i="2"/>
  <c r="I81" i="2"/>
  <c r="J80" i="2"/>
  <c r="I80" i="2"/>
  <c r="J79" i="2"/>
  <c r="I79" i="2"/>
  <c r="J78" i="2"/>
  <c r="I78" i="2"/>
  <c r="J77" i="2"/>
  <c r="I77" i="2"/>
  <c r="J76" i="2"/>
  <c r="I76" i="2"/>
  <c r="J75" i="2"/>
  <c r="I75" i="2"/>
  <c r="J74" i="2"/>
  <c r="I74" i="2"/>
  <c r="J73" i="2"/>
  <c r="I73" i="2"/>
  <c r="J72" i="2"/>
  <c r="I72" i="2"/>
  <c r="J71" i="2"/>
  <c r="I71" i="2"/>
  <c r="J70" i="2"/>
  <c r="I70" i="2"/>
  <c r="J69" i="2"/>
  <c r="I69" i="2"/>
  <c r="J68" i="2"/>
  <c r="I68" i="2"/>
  <c r="J67" i="2"/>
  <c r="I67" i="2"/>
  <c r="J66" i="2"/>
  <c r="I66" i="2"/>
  <c r="J65" i="2"/>
  <c r="I65" i="2"/>
  <c r="J64" i="2"/>
  <c r="I64" i="2"/>
  <c r="J63" i="2"/>
  <c r="I63" i="2"/>
  <c r="J62" i="2"/>
  <c r="I62" i="2"/>
  <c r="J61" i="2"/>
  <c r="I61" i="2"/>
  <c r="J60" i="2"/>
  <c r="I60" i="2"/>
  <c r="J59" i="2"/>
  <c r="I59" i="2"/>
  <c r="J58" i="2"/>
  <c r="I58" i="2"/>
  <c r="J57" i="2"/>
  <c r="I57" i="2"/>
  <c r="J56" i="2"/>
  <c r="I56" i="2"/>
  <c r="J55" i="2"/>
  <c r="I55" i="2"/>
  <c r="J54" i="2"/>
  <c r="I54" i="2"/>
  <c r="J53" i="2"/>
  <c r="I53" i="2"/>
  <c r="J52" i="2"/>
  <c r="I52" i="2"/>
  <c r="J51" i="2"/>
  <c r="I51" i="2"/>
  <c r="J50" i="2"/>
  <c r="I50" i="2"/>
  <c r="J49" i="2"/>
  <c r="I49" i="2"/>
  <c r="J48" i="2"/>
  <c r="I48" i="2"/>
  <c r="J47" i="2"/>
  <c r="I47" i="2"/>
  <c r="J46" i="2"/>
  <c r="I46" i="2"/>
  <c r="J45" i="2"/>
  <c r="I45" i="2"/>
  <c r="J44" i="2"/>
  <c r="I44" i="2"/>
  <c r="J43" i="2"/>
  <c r="I43" i="2"/>
  <c r="J42" i="2"/>
  <c r="I42" i="2"/>
  <c r="J41" i="2"/>
  <c r="I41" i="2"/>
  <c r="J40" i="2"/>
  <c r="I40" i="2"/>
  <c r="J39" i="2"/>
  <c r="I39" i="2"/>
  <c r="J38" i="2"/>
  <c r="I38" i="2"/>
  <c r="J37" i="2"/>
  <c r="I37" i="2"/>
  <c r="J36" i="2"/>
  <c r="I36" i="2"/>
  <c r="J35" i="2"/>
  <c r="I35" i="2"/>
  <c r="J34" i="2"/>
  <c r="I34" i="2"/>
  <c r="J33" i="2"/>
  <c r="I33" i="2"/>
  <c r="J32" i="2"/>
  <c r="I32" i="2"/>
  <c r="J31" i="2"/>
  <c r="I31" i="2"/>
  <c r="J30" i="2"/>
  <c r="I30" i="2"/>
  <c r="J29" i="2"/>
  <c r="I29" i="2"/>
  <c r="J28" i="2"/>
  <c r="I28" i="2"/>
  <c r="J27" i="2"/>
  <c r="I27" i="2"/>
  <c r="J26" i="2"/>
  <c r="I26" i="2"/>
  <c r="J25" i="2"/>
  <c r="I25" i="2"/>
  <c r="J24" i="2"/>
  <c r="I24" i="2"/>
  <c r="J23" i="2"/>
  <c r="I23" i="2"/>
  <c r="J22" i="2"/>
  <c r="I22" i="2"/>
  <c r="J21" i="2"/>
  <c r="I21" i="2"/>
  <c r="J20" i="2"/>
  <c r="I20" i="2"/>
  <c r="J19" i="2"/>
  <c r="I19" i="2"/>
  <c r="J18" i="2"/>
  <c r="I18" i="2"/>
  <c r="J17" i="2"/>
  <c r="I17" i="2"/>
  <c r="J16" i="2"/>
  <c r="I16" i="2"/>
  <c r="J15" i="2"/>
  <c r="I15" i="2"/>
  <c r="J14" i="2"/>
  <c r="I14" i="2"/>
  <c r="J13" i="2"/>
  <c r="I13" i="2"/>
  <c r="J12" i="2"/>
  <c r="I12" i="2"/>
  <c r="J11" i="2"/>
  <c r="I11" i="2"/>
  <c r="J10" i="2"/>
  <c r="I10" i="2"/>
  <c r="J9" i="2"/>
  <c r="I9" i="2"/>
  <c r="G18" i="4"/>
  <c r="E22" i="4"/>
  <c r="E18" i="4"/>
  <c r="E104" i="11" l="1"/>
  <c r="G82" i="11"/>
  <c r="E68" i="11"/>
  <c r="G96" i="11"/>
  <c r="E82" i="11"/>
  <c r="G104" i="11"/>
  <c r="E96" i="11"/>
  <c r="G72" i="11"/>
  <c r="G86" i="11"/>
  <c r="E72" i="11"/>
  <c r="E90" i="11"/>
  <c r="G100" i="11"/>
  <c r="E86" i="11"/>
  <c r="G64" i="11"/>
  <c r="E100" i="11"/>
  <c r="G76" i="11"/>
  <c r="E64" i="11"/>
  <c r="G90" i="11"/>
  <c r="E76" i="11"/>
  <c r="G68" i="11"/>
  <c r="G69" i="11"/>
  <c r="G87" i="11"/>
  <c r="E102" i="11"/>
  <c r="E85" i="11"/>
  <c r="G73" i="11"/>
  <c r="G91" i="11"/>
  <c r="G85" i="11"/>
  <c r="G84" i="11"/>
  <c r="G102" i="11"/>
  <c r="E69" i="11"/>
  <c r="E93" i="11"/>
  <c r="E73" i="11"/>
  <c r="E91" i="11"/>
  <c r="E70" i="11"/>
  <c r="G99" i="11"/>
  <c r="E66" i="11"/>
  <c r="G79" i="11"/>
  <c r="E77" i="11"/>
  <c r="E89" i="11"/>
  <c r="G93" i="11"/>
  <c r="G78" i="11"/>
  <c r="G98" i="11"/>
  <c r="E106" i="11"/>
  <c r="G105" i="11"/>
  <c r="E79" i="11"/>
  <c r="E71" i="11"/>
  <c r="E99" i="11"/>
  <c r="E105" i="11"/>
  <c r="G67" i="11"/>
  <c r="E78" i="11"/>
  <c r="E98" i="11"/>
  <c r="G107" i="11"/>
  <c r="G71" i="11"/>
  <c r="G74" i="11"/>
  <c r="E87" i="11"/>
  <c r="G66" i="11"/>
  <c r="E67" i="11"/>
  <c r="G103" i="11"/>
  <c r="G65" i="11"/>
  <c r="E83" i="11"/>
  <c r="G101" i="11"/>
  <c r="G77" i="11"/>
  <c r="G89" i="11"/>
  <c r="E107" i="11"/>
  <c r="F107" i="11" s="1"/>
  <c r="E74" i="11"/>
  <c r="G75" i="11"/>
  <c r="E103" i="11"/>
  <c r="E65" i="11"/>
  <c r="G83" i="11"/>
  <c r="E101" i="11"/>
  <c r="G106" i="11"/>
  <c r="G88" i="11"/>
  <c r="G92" i="11"/>
  <c r="E97" i="11"/>
  <c r="G97" i="11"/>
  <c r="E84" i="11"/>
  <c r="E75" i="11"/>
  <c r="G70" i="11"/>
  <c r="E88" i="11"/>
  <c r="E92" i="11"/>
  <c r="G24" i="11"/>
  <c r="G28" i="11"/>
  <c r="G36" i="11"/>
  <c r="E24" i="11"/>
  <c r="G12" i="11"/>
  <c r="E28" i="11"/>
  <c r="G16" i="11"/>
  <c r="E36" i="11"/>
  <c r="G17" i="11"/>
  <c r="E12" i="11"/>
  <c r="E16" i="11"/>
  <c r="G22" i="11"/>
  <c r="G32" i="11"/>
  <c r="G20" i="11"/>
  <c r="E32" i="11"/>
  <c r="E20" i="11"/>
  <c r="E38" i="11"/>
  <c r="E17" i="11"/>
  <c r="G25" i="11"/>
  <c r="E29" i="11"/>
  <c r="E18" i="11"/>
  <c r="G33" i="11"/>
  <c r="G26" i="11"/>
  <c r="E35" i="11"/>
  <c r="G35" i="11"/>
  <c r="E26" i="11"/>
  <c r="G38" i="11"/>
  <c r="E25" i="11"/>
  <c r="E14" i="11"/>
  <c r="E39" i="11"/>
  <c r="G39" i="11"/>
  <c r="G29" i="11"/>
  <c r="E31" i="11"/>
  <c r="E13" i="11"/>
  <c r="E27" i="11"/>
  <c r="G15" i="11"/>
  <c r="G14" i="11"/>
  <c r="E22" i="11"/>
  <c r="E30" i="11"/>
  <c r="E33" i="11"/>
  <c r="E21" i="11"/>
  <c r="G23" i="11"/>
  <c r="E19" i="11"/>
  <c r="G34" i="11"/>
  <c r="G13" i="11"/>
  <c r="G37" i="11"/>
  <c r="E15" i="11"/>
  <c r="E23" i="11"/>
  <c r="G21" i="11"/>
  <c r="G31" i="11"/>
  <c r="G18" i="11"/>
  <c r="H18" i="11" s="1"/>
  <c r="G27" i="11"/>
  <c r="E37" i="11"/>
  <c r="G30" i="11"/>
  <c r="G19" i="11"/>
  <c r="E34" i="11"/>
  <c r="F18" i="4"/>
  <c r="F34" i="4"/>
  <c r="F38" i="4"/>
  <c r="H18" i="4"/>
  <c r="H38" i="4"/>
  <c r="H34" i="4"/>
  <c r="F46" i="12"/>
  <c r="H46" i="12"/>
  <c r="U15" i="7"/>
  <c r="R16" i="7"/>
  <c r="V15" i="7"/>
  <c r="T15" i="7"/>
  <c r="S15" i="7"/>
  <c r="G104" i="7"/>
  <c r="G88" i="7"/>
  <c r="G92" i="7"/>
  <c r="E104" i="7"/>
  <c r="E88" i="7"/>
  <c r="G100" i="7"/>
  <c r="G84" i="7"/>
  <c r="E100" i="7"/>
  <c r="E84" i="7"/>
  <c r="G96" i="7"/>
  <c r="G80" i="7"/>
  <c r="E96" i="7"/>
  <c r="E80" i="7"/>
  <c r="E92" i="7"/>
  <c r="G106" i="7"/>
  <c r="E83" i="7"/>
  <c r="G81" i="7"/>
  <c r="G87" i="7"/>
  <c r="E103" i="7"/>
  <c r="G86" i="7"/>
  <c r="E87" i="7"/>
  <c r="E86" i="7"/>
  <c r="E106" i="7"/>
  <c r="G98" i="7"/>
  <c r="G107" i="7"/>
  <c r="G90" i="7"/>
  <c r="E102" i="7"/>
  <c r="E90" i="7"/>
  <c r="E89" i="7"/>
  <c r="G91" i="7"/>
  <c r="G93" i="7"/>
  <c r="E81" i="7"/>
  <c r="E85" i="7"/>
  <c r="G97" i="7"/>
  <c r="E91" i="7"/>
  <c r="G102" i="7"/>
  <c r="E107" i="7"/>
  <c r="E98" i="7"/>
  <c r="E95" i="7"/>
  <c r="G89" i="7"/>
  <c r="G85" i="7"/>
  <c r="E93" i="7"/>
  <c r="E97" i="7"/>
  <c r="E82" i="7"/>
  <c r="G95" i="7"/>
  <c r="E94" i="7"/>
  <c r="G101" i="7"/>
  <c r="G105" i="7"/>
  <c r="G94" i="7"/>
  <c r="G83" i="7"/>
  <c r="G82" i="7"/>
  <c r="E101" i="7"/>
  <c r="E105" i="7"/>
  <c r="G99" i="7"/>
  <c r="G103" i="7"/>
  <c r="E99" i="7"/>
  <c r="G26" i="7"/>
  <c r="H26" i="7" s="1"/>
  <c r="L20" i="7" s="1" a="1"/>
  <c r="L20" i="7" s="1"/>
  <c r="E26" i="7"/>
  <c r="F26" i="7" s="1"/>
  <c r="K20" i="7" s="1" a="1"/>
  <c r="K20" i="7" s="1"/>
  <c r="E29" i="7"/>
  <c r="F29" i="7" s="1"/>
  <c r="G29" i="7"/>
  <c r="H29" i="7" s="1"/>
  <c r="E28" i="7"/>
  <c r="F28" i="7" s="1"/>
  <c r="G28" i="7"/>
  <c r="H28" i="7" s="1"/>
  <c r="G27" i="7"/>
  <c r="H27" i="7" s="1"/>
  <c r="L17" i="7" s="1" a="1"/>
  <c r="L17" i="7" s="1"/>
  <c r="E27" i="7"/>
  <c r="F27" i="7" s="1"/>
  <c r="K17" i="7" s="1" a="1"/>
  <c r="K17" i="7" s="1"/>
  <c r="E132" i="7"/>
  <c r="G158" i="7"/>
  <c r="G140" i="7"/>
  <c r="E158" i="7"/>
  <c r="E140" i="7"/>
  <c r="G172" i="7"/>
  <c r="G154" i="7"/>
  <c r="E172" i="7"/>
  <c r="E154" i="7"/>
  <c r="G136" i="7"/>
  <c r="G168" i="7"/>
  <c r="G150" i="7"/>
  <c r="E136" i="7"/>
  <c r="E168" i="7"/>
  <c r="E150" i="7"/>
  <c r="G164" i="7"/>
  <c r="G144" i="7"/>
  <c r="G132" i="7"/>
  <c r="E164" i="7"/>
  <c r="E144" i="7"/>
  <c r="E169" i="7"/>
  <c r="G143" i="7"/>
  <c r="G138" i="7"/>
  <c r="G161" i="7"/>
  <c r="E147" i="7"/>
  <c r="E146" i="7"/>
  <c r="G166" i="7"/>
  <c r="E174" i="7"/>
  <c r="E153" i="7"/>
  <c r="G156" i="7"/>
  <c r="E166" i="7"/>
  <c r="G134" i="7"/>
  <c r="G155" i="7"/>
  <c r="G160" i="7"/>
  <c r="E139" i="7"/>
  <c r="G135" i="7"/>
  <c r="E134" i="7"/>
  <c r="E135" i="7"/>
  <c r="E170" i="7"/>
  <c r="G169" i="7"/>
  <c r="E133" i="7"/>
  <c r="G137" i="7"/>
  <c r="E138" i="7"/>
  <c r="G170" i="7"/>
  <c r="G153" i="7"/>
  <c r="E142" i="7"/>
  <c r="G133" i="7"/>
  <c r="E173" i="7"/>
  <c r="G171" i="7"/>
  <c r="G139" i="7"/>
  <c r="E160" i="7"/>
  <c r="G142" i="7"/>
  <c r="G145" i="7"/>
  <c r="G173" i="7"/>
  <c r="G165" i="7"/>
  <c r="E167" i="7"/>
  <c r="G152" i="7"/>
  <c r="E152" i="7"/>
  <c r="G147" i="7"/>
  <c r="G159" i="7"/>
  <c r="G175" i="7"/>
  <c r="E145" i="7"/>
  <c r="G151" i="7"/>
  <c r="G141" i="7"/>
  <c r="E171" i="7"/>
  <c r="G146" i="7"/>
  <c r="G174" i="7"/>
  <c r="E175" i="7"/>
  <c r="F175" i="7" s="1"/>
  <c r="E151" i="7"/>
  <c r="E141" i="7"/>
  <c r="E165" i="7"/>
  <c r="E159" i="7"/>
  <c r="E155" i="7"/>
  <c r="E157" i="7"/>
  <c r="E137" i="7"/>
  <c r="E161" i="7"/>
  <c r="E143" i="7"/>
  <c r="G157" i="7"/>
  <c r="E156" i="7"/>
  <c r="G167" i="7"/>
  <c r="F47" i="4"/>
  <c r="F22" i="4"/>
  <c r="F59" i="4"/>
  <c r="F75" i="4"/>
  <c r="F63" i="4"/>
  <c r="F51" i="4"/>
  <c r="F67" i="4"/>
  <c r="F55" i="4"/>
  <c r="F71" i="4"/>
  <c r="H51" i="4"/>
  <c r="H63" i="4"/>
  <c r="H71" i="4"/>
  <c r="H59" i="4"/>
  <c r="H47" i="4"/>
  <c r="H55" i="4"/>
  <c r="H67" i="4"/>
  <c r="H75" i="4"/>
  <c r="E30" i="4"/>
  <c r="G30" i="4"/>
  <c r="E45" i="4"/>
  <c r="O3" i="4"/>
  <c r="H19" i="11" l="1"/>
  <c r="H21" i="11"/>
  <c r="H32" i="11"/>
  <c r="H29" i="11"/>
  <c r="H39" i="11"/>
  <c r="H26" i="11"/>
  <c r="H16" i="11"/>
  <c r="H30" i="11"/>
  <c r="H37" i="11"/>
  <c r="H33" i="11"/>
  <c r="H20" i="11"/>
  <c r="H13" i="11"/>
  <c r="H14" i="11"/>
  <c r="H12" i="11"/>
  <c r="H27" i="11"/>
  <c r="H34" i="11"/>
  <c r="H15" i="11"/>
  <c r="H22" i="11"/>
  <c r="H38" i="11"/>
  <c r="H25" i="11"/>
  <c r="H36" i="11"/>
  <c r="H31" i="11"/>
  <c r="H23" i="11"/>
  <c r="H28" i="11"/>
  <c r="H35" i="11"/>
  <c r="H17" i="11"/>
  <c r="H24" i="11"/>
  <c r="F28" i="11"/>
  <c r="H97" i="11"/>
  <c r="F39" i="11"/>
  <c r="F22" i="11"/>
  <c r="F37" i="11"/>
  <c r="F92" i="11"/>
  <c r="H88" i="11"/>
  <c r="F105" i="11"/>
  <c r="H93" i="11"/>
  <c r="H76" i="11"/>
  <c r="F72" i="11"/>
  <c r="H66" i="11"/>
  <c r="F73" i="11"/>
  <c r="F85" i="11"/>
  <c r="H72" i="11"/>
  <c r="F88" i="11"/>
  <c r="H106" i="11"/>
  <c r="H89" i="11"/>
  <c r="F87" i="11"/>
  <c r="F99" i="11"/>
  <c r="F89" i="11"/>
  <c r="F93" i="11"/>
  <c r="F102" i="11"/>
  <c r="F100" i="11"/>
  <c r="F96" i="11"/>
  <c r="H70" i="11"/>
  <c r="F101" i="11"/>
  <c r="H77" i="11"/>
  <c r="H74" i="11"/>
  <c r="F71" i="11"/>
  <c r="F77" i="11"/>
  <c r="F69" i="11"/>
  <c r="H87" i="11"/>
  <c r="H64" i="11"/>
  <c r="H104" i="11"/>
  <c r="F75" i="11"/>
  <c r="H83" i="11"/>
  <c r="H101" i="11"/>
  <c r="H71" i="11"/>
  <c r="F79" i="11"/>
  <c r="H79" i="11"/>
  <c r="H102" i="11"/>
  <c r="H69" i="11"/>
  <c r="F86" i="11"/>
  <c r="F82" i="11"/>
  <c r="F84" i="11"/>
  <c r="F65" i="11"/>
  <c r="F83" i="11"/>
  <c r="H107" i="11"/>
  <c r="H105" i="11"/>
  <c r="F66" i="11"/>
  <c r="H84" i="11"/>
  <c r="H68" i="11"/>
  <c r="H100" i="11"/>
  <c r="H96" i="11"/>
  <c r="F103" i="11"/>
  <c r="H65" i="11"/>
  <c r="F98" i="11"/>
  <c r="F106" i="11"/>
  <c r="H99" i="11"/>
  <c r="H85" i="11"/>
  <c r="F76" i="11"/>
  <c r="F90" i="11"/>
  <c r="F68" i="11"/>
  <c r="F97" i="11"/>
  <c r="H75" i="11"/>
  <c r="H103" i="11"/>
  <c r="F78" i="11"/>
  <c r="H98" i="11"/>
  <c r="F70" i="11"/>
  <c r="H91" i="11"/>
  <c r="H90" i="11"/>
  <c r="H82" i="11"/>
  <c r="H92" i="11"/>
  <c r="F74" i="11"/>
  <c r="F67" i="11"/>
  <c r="H67" i="11"/>
  <c r="H78" i="11"/>
  <c r="F91" i="11"/>
  <c r="H73" i="11"/>
  <c r="F64" i="11"/>
  <c r="H86" i="11"/>
  <c r="F104" i="11"/>
  <c r="F34" i="11"/>
  <c r="F23" i="11"/>
  <c r="F33" i="11"/>
  <c r="F35" i="11"/>
  <c r="F20" i="11"/>
  <c r="F36" i="11"/>
  <c r="F15" i="11"/>
  <c r="F30" i="11"/>
  <c r="F32" i="11"/>
  <c r="F14" i="11"/>
  <c r="F18" i="11"/>
  <c r="F25" i="11"/>
  <c r="F29" i="11"/>
  <c r="F24" i="11"/>
  <c r="F19" i="11"/>
  <c r="F27" i="11"/>
  <c r="F16" i="11"/>
  <c r="F13" i="11"/>
  <c r="F26" i="11"/>
  <c r="F17" i="11"/>
  <c r="F12" i="11"/>
  <c r="F21" i="11"/>
  <c r="F31" i="11"/>
  <c r="F38" i="11"/>
  <c r="U16" i="7"/>
  <c r="S16" i="7"/>
  <c r="R17" i="7"/>
  <c r="V16" i="7"/>
  <c r="T16" i="7"/>
  <c r="H84" i="7"/>
  <c r="F92" i="7"/>
  <c r="H100" i="7"/>
  <c r="H103" i="7"/>
  <c r="H101" i="7"/>
  <c r="F95" i="7"/>
  <c r="H93" i="7"/>
  <c r="F106" i="7"/>
  <c r="F97" i="7"/>
  <c r="H106" i="7"/>
  <c r="L18" i="7" a="1"/>
  <c r="L18" i="7" s="1"/>
  <c r="L19" i="7" a="1"/>
  <c r="L19" i="7" s="1"/>
  <c r="F94" i="7"/>
  <c r="F86" i="7"/>
  <c r="K18" i="7" a="1"/>
  <c r="K18" i="7" s="1"/>
  <c r="K19" i="7" a="1"/>
  <c r="K19" i="7" s="1"/>
  <c r="F105" i="7"/>
  <c r="H95" i="7"/>
  <c r="F107" i="7"/>
  <c r="F89" i="7"/>
  <c r="F87" i="7"/>
  <c r="F80" i="7"/>
  <c r="F88" i="7"/>
  <c r="H99" i="7"/>
  <c r="F98" i="7"/>
  <c r="H91" i="7"/>
  <c r="F101" i="7"/>
  <c r="F82" i="7"/>
  <c r="H102" i="7"/>
  <c r="F90" i="7"/>
  <c r="H86" i="7"/>
  <c r="F96" i="7"/>
  <c r="F104" i="7"/>
  <c r="F91" i="7"/>
  <c r="F103" i="7"/>
  <c r="H80" i="7"/>
  <c r="H92" i="7"/>
  <c r="H83" i="7"/>
  <c r="F93" i="7"/>
  <c r="H97" i="7"/>
  <c r="H90" i="7"/>
  <c r="H87" i="7"/>
  <c r="H96" i="7"/>
  <c r="H88" i="7"/>
  <c r="H164" i="7"/>
  <c r="F172" i="7"/>
  <c r="H94" i="7"/>
  <c r="H85" i="7"/>
  <c r="F85" i="7"/>
  <c r="H107" i="7"/>
  <c r="H81" i="7"/>
  <c r="F84" i="7"/>
  <c r="H104" i="7"/>
  <c r="H82" i="7"/>
  <c r="F102" i="7"/>
  <c r="F99" i="7"/>
  <c r="H105" i="7"/>
  <c r="H89" i="7"/>
  <c r="F81" i="7"/>
  <c r="H98" i="7"/>
  <c r="F83" i="7"/>
  <c r="F100" i="7"/>
  <c r="H167" i="7"/>
  <c r="F159" i="7"/>
  <c r="F167" i="7"/>
  <c r="H169" i="7"/>
  <c r="H134" i="7"/>
  <c r="F156" i="7"/>
  <c r="H165" i="7"/>
  <c r="F150" i="7"/>
  <c r="H161" i="7"/>
  <c r="F165" i="7"/>
  <c r="H133" i="7"/>
  <c r="F166" i="7"/>
  <c r="H154" i="7"/>
  <c r="H157" i="7"/>
  <c r="F141" i="7"/>
  <c r="F145" i="7"/>
  <c r="H173" i="7"/>
  <c r="F174" i="7"/>
  <c r="F142" i="7"/>
  <c r="F135" i="7"/>
  <c r="H156" i="7"/>
  <c r="H143" i="7"/>
  <c r="F168" i="7"/>
  <c r="H172" i="7"/>
  <c r="F173" i="7"/>
  <c r="H151" i="7"/>
  <c r="F170" i="7"/>
  <c r="H138" i="7"/>
  <c r="F143" i="7"/>
  <c r="F151" i="7"/>
  <c r="H175" i="7"/>
  <c r="H145" i="7"/>
  <c r="H153" i="7"/>
  <c r="F134" i="7"/>
  <c r="F153" i="7"/>
  <c r="F169" i="7"/>
  <c r="F136" i="7"/>
  <c r="F140" i="7"/>
  <c r="F161" i="7"/>
  <c r="H166" i="7"/>
  <c r="H142" i="7"/>
  <c r="H170" i="7"/>
  <c r="H135" i="7"/>
  <c r="F144" i="7"/>
  <c r="H150" i="7"/>
  <c r="F158" i="7"/>
  <c r="F137" i="7"/>
  <c r="H174" i="7"/>
  <c r="H147" i="7"/>
  <c r="F160" i="7"/>
  <c r="F138" i="7"/>
  <c r="F139" i="7"/>
  <c r="F164" i="7"/>
  <c r="H168" i="7"/>
  <c r="H140" i="7"/>
  <c r="F157" i="7"/>
  <c r="H146" i="7"/>
  <c r="F152" i="7"/>
  <c r="H139" i="7"/>
  <c r="H137" i="7"/>
  <c r="H160" i="7"/>
  <c r="F146" i="7"/>
  <c r="H132" i="7"/>
  <c r="H136" i="7"/>
  <c r="H158" i="7"/>
  <c r="H159" i="7"/>
  <c r="H141" i="7"/>
  <c r="F155" i="7"/>
  <c r="F171" i="7"/>
  <c r="H152" i="7"/>
  <c r="H171" i="7"/>
  <c r="F133" i="7"/>
  <c r="H155" i="7"/>
  <c r="F147" i="7"/>
  <c r="H144" i="7"/>
  <c r="F154" i="7"/>
  <c r="F132" i="7"/>
  <c r="D78" i="4"/>
  <c r="D77" i="4"/>
  <c r="D76" i="4"/>
  <c r="D74" i="4"/>
  <c r="D73" i="4"/>
  <c r="D72" i="4"/>
  <c r="D70" i="4"/>
  <c r="D69" i="4"/>
  <c r="D68" i="4"/>
  <c r="D66" i="4"/>
  <c r="D65" i="4"/>
  <c r="D64" i="4"/>
  <c r="D62" i="4"/>
  <c r="D61" i="4"/>
  <c r="D60" i="4"/>
  <c r="D58" i="4"/>
  <c r="D57" i="4"/>
  <c r="D56" i="4"/>
  <c r="D54" i="4"/>
  <c r="D53" i="4"/>
  <c r="D52" i="4"/>
  <c r="D50" i="4"/>
  <c r="D49" i="4"/>
  <c r="D48" i="4"/>
  <c r="H30" i="4"/>
  <c r="H26" i="4"/>
  <c r="F30" i="4"/>
  <c r="F26" i="4"/>
  <c r="H22" i="4"/>
  <c r="D33" i="4"/>
  <c r="D32" i="4"/>
  <c r="D31" i="4"/>
  <c r="D29" i="4"/>
  <c r="D28" i="4"/>
  <c r="D27" i="4"/>
  <c r="D25" i="4"/>
  <c r="D24" i="4"/>
  <c r="D23" i="4"/>
  <c r="D21" i="4"/>
  <c r="D19" i="4"/>
  <c r="L24" i="4" l="1" a="1"/>
  <c r="L24" i="4" s="1"/>
  <c r="K24" i="4" a="1"/>
  <c r="K24" i="4" s="1"/>
  <c r="U17" i="7"/>
  <c r="S17" i="7"/>
  <c r="V17" i="7"/>
  <c r="T17" i="7"/>
  <c r="E52" i="4"/>
  <c r="G52" i="4"/>
  <c r="G54" i="4"/>
  <c r="E54" i="4"/>
  <c r="G53" i="4"/>
  <c r="E53" i="4"/>
  <c r="G76" i="4"/>
  <c r="E76" i="4"/>
  <c r="G23" i="4"/>
  <c r="E23" i="4"/>
  <c r="G77" i="4"/>
  <c r="E77" i="4"/>
  <c r="G24" i="4"/>
  <c r="E24" i="4"/>
  <c r="G50" i="4"/>
  <c r="E50" i="4"/>
  <c r="G57" i="4"/>
  <c r="E57" i="4"/>
  <c r="G68" i="4"/>
  <c r="E68" i="4"/>
  <c r="G78" i="4"/>
  <c r="E78" i="4"/>
  <c r="G48" i="4"/>
  <c r="E48" i="4"/>
  <c r="G33" i="4"/>
  <c r="E33" i="4"/>
  <c r="G25" i="4"/>
  <c r="E25" i="4"/>
  <c r="G58" i="4"/>
  <c r="E58" i="4"/>
  <c r="G69" i="4"/>
  <c r="E69" i="4"/>
  <c r="E21" i="4"/>
  <c r="G21" i="4"/>
  <c r="G65" i="4"/>
  <c r="E65" i="4"/>
  <c r="G56" i="4"/>
  <c r="E56" i="4"/>
  <c r="G27" i="4"/>
  <c r="E27" i="4"/>
  <c r="G60" i="4"/>
  <c r="E60" i="4"/>
  <c r="G70" i="4"/>
  <c r="E70" i="4"/>
  <c r="G28" i="4"/>
  <c r="E28" i="4"/>
  <c r="G61" i="4"/>
  <c r="E61" i="4"/>
  <c r="G72" i="4"/>
  <c r="E72" i="4"/>
  <c r="G32" i="4"/>
  <c r="E32" i="4"/>
  <c r="G66" i="4"/>
  <c r="E66" i="4"/>
  <c r="E19" i="4"/>
  <c r="G19" i="4"/>
  <c r="G29" i="4"/>
  <c r="E29" i="4"/>
  <c r="G62" i="4"/>
  <c r="E62" i="4"/>
  <c r="G73" i="4"/>
  <c r="E73" i="4"/>
  <c r="G49" i="4"/>
  <c r="E49" i="4"/>
  <c r="E20" i="4"/>
  <c r="G20" i="4"/>
  <c r="G31" i="4"/>
  <c r="E31" i="4"/>
  <c r="G64" i="4"/>
  <c r="E64" i="4"/>
  <c r="G74" i="4"/>
  <c r="E74" i="4"/>
  <c r="F49" i="12" l="1"/>
  <c r="H49" i="12"/>
  <c r="F20" i="4"/>
  <c r="F40" i="4"/>
  <c r="F36" i="4"/>
  <c r="F21" i="4"/>
  <c r="F41" i="4"/>
  <c r="F37" i="4"/>
  <c r="H20" i="4"/>
  <c r="H36" i="4"/>
  <c r="L22" i="4" s="1" a="1"/>
  <c r="L22" i="4" s="1"/>
  <c r="H40" i="4"/>
  <c r="H19" i="4"/>
  <c r="H39" i="4"/>
  <c r="H35" i="4"/>
  <c r="L21" i="4" s="1" a="1"/>
  <c r="L21" i="4" s="1"/>
  <c r="F47" i="12"/>
  <c r="F19" i="4"/>
  <c r="F35" i="4"/>
  <c r="K21" i="4" s="1" a="1"/>
  <c r="K21" i="4" s="1"/>
  <c r="F39" i="4"/>
  <c r="H47" i="12"/>
  <c r="F48" i="12"/>
  <c r="H21" i="4"/>
  <c r="H37" i="4"/>
  <c r="L23" i="4" s="1" a="1"/>
  <c r="L23" i="4" s="1"/>
  <c r="H41" i="4"/>
  <c r="H48" i="12"/>
  <c r="F74" i="4"/>
  <c r="F54" i="4"/>
  <c r="F66" i="4"/>
  <c r="H54" i="4"/>
  <c r="H66" i="4"/>
  <c r="F62" i="4"/>
  <c r="H74" i="4"/>
  <c r="H62" i="4"/>
  <c r="F64" i="4"/>
  <c r="F29" i="4"/>
  <c r="H29" i="4"/>
  <c r="H70" i="4"/>
  <c r="H32" i="4"/>
  <c r="H49" i="4"/>
  <c r="F49" i="4"/>
  <c r="F32" i="4"/>
  <c r="F72" i="4"/>
  <c r="F27" i="4"/>
  <c r="F58" i="4"/>
  <c r="F33" i="4"/>
  <c r="F78" i="4"/>
  <c r="F24" i="4"/>
  <c r="H64" i="4"/>
  <c r="H72" i="4"/>
  <c r="H27" i="4"/>
  <c r="H58" i="4"/>
  <c r="H33" i="4"/>
  <c r="H78" i="4"/>
  <c r="H24" i="4"/>
  <c r="F31" i="4"/>
  <c r="H31" i="4"/>
  <c r="H52" i="4"/>
  <c r="F70" i="4"/>
  <c r="F60" i="4"/>
  <c r="F65" i="4"/>
  <c r="F25" i="4"/>
  <c r="F57" i="4"/>
  <c r="F23" i="4"/>
  <c r="F52" i="4"/>
  <c r="F53" i="4"/>
  <c r="F73" i="4"/>
  <c r="F61" i="4"/>
  <c r="F56" i="4"/>
  <c r="F48" i="4"/>
  <c r="F68" i="4"/>
  <c r="F77" i="4"/>
  <c r="H53" i="4"/>
  <c r="H73" i="4"/>
  <c r="H61" i="4"/>
  <c r="H56" i="4"/>
  <c r="H48" i="4"/>
  <c r="H68" i="4"/>
  <c r="H77" i="4"/>
  <c r="H60" i="4"/>
  <c r="H65" i="4"/>
  <c r="H25" i="4"/>
  <c r="H57" i="4"/>
  <c r="H23" i="4"/>
  <c r="F28" i="4"/>
  <c r="F69" i="4"/>
  <c r="F50" i="4"/>
  <c r="F76" i="4"/>
  <c r="H28" i="4"/>
  <c r="H69" i="4"/>
  <c r="H50" i="4"/>
  <c r="H76" i="4"/>
  <c r="K23" i="4" l="1" a="1"/>
  <c r="K23" i="4" s="1"/>
  <c r="K22" i="4" a="1"/>
  <c r="K22" i="4" s="1"/>
  <c r="L49" i="4" a="1"/>
  <c r="L49" i="4" s="1"/>
  <c r="K50" i="4" a="1"/>
  <c r="K50" i="4" s="1"/>
  <c r="K49" i="4" a="1"/>
  <c r="K49" i="4" s="1"/>
  <c r="L50" i="4" a="1"/>
  <c r="L5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tc={E644816C-5114-4070-8000-4485DB96670A}</author>
  </authors>
  <commentList>
    <comment ref="F7" authorId="0" shapeId="0" xr:uid="{E644816C-5114-4070-8000-4485DB96670A}">
      <text>
        <t>[Threaded comment]
Your version of Excel allows you to read this threaded comment; however, any edits to it will get removed if the file is opened in a newer version of Excel. Learn more: https://go.microsoft.com/fwlink/?linkid=870924
Comment:
    This is the same as the Falls Summary.  Will this tab go away?
Reply:
    yes this tab will be hidden
Reply:
    the ref tab will be hidden too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tc={80413149-0A48-4AC3-8911-2F49CB8CA5F7}</author>
    <author>tc={D7726D3E-E98D-4E8A-8163-CB4A7FBB8236}</author>
  </authors>
  <commentList>
    <comment ref="D1" authorId="0" shapeId="0" xr:uid="{80413149-0A48-4AC3-8911-2F49CB8CA5F7}">
      <text>
        <t>[Threaded comment]
Your version of Excel allows you to read this threaded comment; however, any edits to it will get removed if the file is opened in a newer version of Excel. Learn more: https://go.microsoft.com/fwlink/?linkid=870924
Comment:
    Please add:  Toileting with Assist and Toileting Without Assist</t>
      </text>
    </comment>
    <comment ref="M24" authorId="1" shapeId="0" xr:uid="{D7726D3E-E98D-4E8A-8163-CB4A7FBB8236}">
      <text>
        <t>[Threaded comment]
Your version of Excel allows you to read this threaded comment; however, any edits to it will get removed if the file is opened in a newer version of Excel. Learn more: https://go.microsoft.com/fwlink/?linkid=870924
Comment:
    This will be either hidden or locked so that facilities can't change?</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<sst xmlns="http://schemas.openxmlformats.org/spreadsheetml/2006/main" count="3807" uniqueCount="2992">
  <si>
    <t>NURSING FALLS TRACKING TOOL</t>
  </si>
  <si>
    <t>run chart data</t>
  </si>
  <si>
    <t>timeframe</t>
  </si>
  <si>
    <t>Entire Facility</t>
  </si>
  <si>
    <t>Unit &amp; Facility-wide Summary</t>
  </si>
  <si>
    <t>Selection 1</t>
  </si>
  <si>
    <t xml:space="preserve">Report Date: </t>
  </si>
  <si>
    <t>Select up to 3 units for comparison:</t>
  </si>
  <si>
    <t>Select current timeframe of interest:</t>
  </si>
  <si>
    <t>Select year of interest:</t>
  </si>
  <si>
    <t>General Information</t>
  </si>
  <si>
    <t>YTD</t>
  </si>
  <si>
    <r>
      <t xml:space="preserve">Select </t>
    </r>
    <r>
      <rPr>
        <b/>
        <sz val="11"/>
        <color theme="1"/>
        <rFont val="Nirmala UI"/>
        <family val="2"/>
      </rPr>
      <t xml:space="preserve">General Information 
</t>
    </r>
    <r>
      <rPr>
        <sz val="11"/>
        <color theme="1"/>
        <rFont val="Nirmala UI"/>
        <family val="2"/>
      </rPr>
      <t>Measure for Chart Comparison:</t>
    </r>
  </si>
  <si>
    <t>Falls w/in 30 Days of Admit/Readmit</t>
  </si>
  <si>
    <t>#</t>
  </si>
  <si>
    <t>%</t>
  </si>
  <si>
    <t>Total Falls Tracked</t>
  </si>
  <si>
    <t>Post Fall Evaluation Completed?</t>
  </si>
  <si>
    <t>Falls Resulting in Injury</t>
  </si>
  <si>
    <t>Causal Factors of Fall</t>
  </si>
  <si>
    <t>#Falls w/ Causal Factor</t>
  </si>
  <si>
    <t>%Falls w/ Causal Factor</t>
  </si>
  <si>
    <r>
      <t>Select</t>
    </r>
    <r>
      <rPr>
        <b/>
        <sz val="11"/>
        <color theme="1"/>
        <rFont val="Nirmala UI"/>
        <family val="2"/>
      </rPr>
      <t xml:space="preserve"> Causal Factors </t>
    </r>
    <r>
      <rPr>
        <sz val="11"/>
        <color theme="1"/>
        <rFont val="Nirmala UI"/>
        <family val="2"/>
      </rPr>
      <t>Measure for Chart Comparison:</t>
    </r>
  </si>
  <si>
    <t>History of Falls</t>
  </si>
  <si>
    <t>Underlying Conditions</t>
  </si>
  <si>
    <t>Medications</t>
  </si>
  <si>
    <t>Functional Status</t>
  </si>
  <si>
    <t>Neurological Status</t>
  </si>
  <si>
    <t>Psychological Factors</t>
  </si>
  <si>
    <t>Environmental Issues</t>
  </si>
  <si>
    <t>Underlying Acute Medical Problems</t>
  </si>
  <si>
    <t>Underlying Chronice Medical Problems</t>
  </si>
  <si>
    <t>Other</t>
  </si>
  <si>
    <t>Sensory Status</t>
  </si>
  <si>
    <t>Psychological Status</t>
  </si>
  <si>
    <t>Falls by Day of Week</t>
  </si>
  <si>
    <t># by Day</t>
  </si>
  <si>
    <t>% by Day</t>
  </si>
  <si>
    <t>Sunday</t>
  </si>
  <si>
    <t>Monday</t>
  </si>
  <si>
    <t>Tuesday</t>
  </si>
  <si>
    <t>Wednesday</t>
  </si>
  <si>
    <t>Thursday</t>
  </si>
  <si>
    <t>Friday</t>
  </si>
  <si>
    <t>Saturday</t>
  </si>
  <si>
    <t>Falls by Shift</t>
  </si>
  <si>
    <t># by Shift</t>
  </si>
  <si>
    <t>% by Shift</t>
  </si>
  <si>
    <t>Days</t>
  </si>
  <si>
    <t>Evenings</t>
  </si>
  <si>
    <t>Nights</t>
  </si>
  <si>
    <t>Falls by Time Span</t>
  </si>
  <si>
    <t># by Time</t>
  </si>
  <si>
    <t>% by Time</t>
  </si>
  <si>
    <t>7 am to 9:59 am</t>
  </si>
  <si>
    <t>10 am to 11:59 am</t>
  </si>
  <si>
    <t>12 pm to 1:29 pm</t>
  </si>
  <si>
    <t>1:30 pm to 2:59 pm</t>
  </si>
  <si>
    <t>3 pm to 4:59 pm</t>
  </si>
  <si>
    <t>5 pm to 7:59 pm</t>
  </si>
  <si>
    <t>8 pm to 10:59 pm</t>
  </si>
  <si>
    <t>11 pm to 12:59 am</t>
  </si>
  <si>
    <t>1 am to 4:59 am</t>
  </si>
  <si>
    <t>5 am to 6:59 am</t>
  </si>
  <si>
    <t>Falls by Location</t>
  </si>
  <si>
    <t>#Falls by Location</t>
  </si>
  <si>
    <t>%Falls by Location</t>
  </si>
  <si>
    <r>
      <t>Select</t>
    </r>
    <r>
      <rPr>
        <b/>
        <sz val="11"/>
        <color theme="1"/>
        <rFont val="Nirmala UI"/>
        <family val="2"/>
      </rPr>
      <t xml:space="preserve"> Falls by Location </t>
    </r>
    <r>
      <rPr>
        <sz val="11"/>
        <color theme="1"/>
        <rFont val="Nirmala UI"/>
        <family val="2"/>
      </rPr>
      <t>Measure for Chart Comparison:</t>
    </r>
  </si>
  <si>
    <t>In Room</t>
  </si>
  <si>
    <t>Bathroom</t>
  </si>
  <si>
    <t>Hallway</t>
  </si>
  <si>
    <t>Dining Room</t>
  </si>
  <si>
    <t>Activities</t>
  </si>
  <si>
    <t>Therapy</t>
  </si>
  <si>
    <t>Beauty/Barber</t>
  </si>
  <si>
    <t>Shower/Tub</t>
  </si>
  <si>
    <t>Nursing Station</t>
  </si>
  <si>
    <t>Out of Facility</t>
  </si>
  <si>
    <t>Falls by Prior Activity</t>
  </si>
  <si>
    <t>#Falls by Prior Activity</t>
  </si>
  <si>
    <t>%Falls by Prior Activity</t>
  </si>
  <si>
    <r>
      <t>Select</t>
    </r>
    <r>
      <rPr>
        <b/>
        <sz val="11"/>
        <color theme="1"/>
        <rFont val="Nirmala UI"/>
        <family val="2"/>
      </rPr>
      <t xml:space="preserve"> Falls by Prior Activity </t>
    </r>
    <r>
      <rPr>
        <sz val="11"/>
        <color theme="1"/>
        <rFont val="Nirmala UI"/>
        <family val="2"/>
      </rPr>
      <t>Measure for Chart Comparison:</t>
    </r>
  </si>
  <si>
    <t>Toileting w/ Assist</t>
  </si>
  <si>
    <t>Walking</t>
  </si>
  <si>
    <t>Transfer</t>
  </si>
  <si>
    <t>Bed</t>
  </si>
  <si>
    <t>Chair</t>
  </si>
  <si>
    <t>Toileting w/o Assist</t>
  </si>
  <si>
    <t>Falls w/ Injury by Type</t>
  </si>
  <si>
    <r>
      <t>Select</t>
    </r>
    <r>
      <rPr>
        <b/>
        <sz val="11"/>
        <color theme="1"/>
        <rFont val="Nirmala UI"/>
        <family val="2"/>
      </rPr>
      <t xml:space="preserve"> Injury Type </t>
    </r>
    <r>
      <rPr>
        <sz val="11"/>
        <color theme="1"/>
        <rFont val="Nirmala UI"/>
        <family val="2"/>
      </rPr>
      <t>Measure for Chart Comparison:</t>
    </r>
  </si>
  <si>
    <t>Skin Tear</t>
  </si>
  <si>
    <t>Confusion</t>
  </si>
  <si>
    <t>Abrasion</t>
  </si>
  <si>
    <t>Bone Fracture</t>
  </si>
  <si>
    <t>Joint Dislocation</t>
  </si>
  <si>
    <t>Closed Head Injury w/ Altered Consciousness</t>
  </si>
  <si>
    <t>Subdural Hematoma</t>
  </si>
  <si>
    <t>Injury Treatment by Location</t>
  </si>
  <si>
    <t>#Falls by Treatment Location</t>
  </si>
  <si>
    <t>%Falls by Treatment Location</t>
  </si>
  <si>
    <t>Treatment in Facility</t>
  </si>
  <si>
    <t>Treatment in Emergency Room</t>
  </si>
  <si>
    <t>Admission to Hospital</t>
  </si>
  <si>
    <t>current month ranking</t>
  </si>
  <si>
    <t>Top 3</t>
  </si>
  <si>
    <t>unit</t>
  </si>
  <si>
    <t>falls</t>
  </si>
  <si>
    <t>top 3 units</t>
  </si>
  <si>
    <t>rank</t>
  </si>
  <si>
    <t>KS NH NAME</t>
  </si>
  <si>
    <t>CCN</t>
  </si>
  <si>
    <t>MO NH NAME</t>
  </si>
  <si>
    <t>SC NH NAME</t>
  </si>
  <si>
    <t>VA NH NAME</t>
  </si>
  <si>
    <t>KS</t>
  </si>
  <si>
    <t>A:B</t>
  </si>
  <si>
    <t>Hand Hygiene Competency</t>
  </si>
  <si>
    <t>ABERDEEN VILLAGE</t>
  </si>
  <si>
    <t>175448</t>
  </si>
  <si>
    <t>ABBEY SENIOR HEALTH</t>
  </si>
  <si>
    <t>265839</t>
  </si>
  <si>
    <t>ABBEVILLE NURSING HOME, INC.</t>
  </si>
  <si>
    <t>425057</t>
  </si>
  <si>
    <t>ABINGDON HEALTH CARE LLC</t>
  </si>
  <si>
    <t>495409</t>
  </si>
  <si>
    <t>MO</t>
  </si>
  <si>
    <t>D:E</t>
  </si>
  <si>
    <t>PPE Competency</t>
  </si>
  <si>
    <t>ADVANCED HEALTH CARE OF OVERLAND PARK</t>
  </si>
  <si>
    <t>175542</t>
  </si>
  <si>
    <t>ABBEY WOODS CENTER FOR REHABILITATION AND HEALING</t>
  </si>
  <si>
    <t>265657</t>
  </si>
  <si>
    <t>ANCHOR REHAB AND HEALTHCARE CENTER OF AIKEN, LLC</t>
  </si>
  <si>
    <t>425311</t>
  </si>
  <si>
    <t>ACCORDIUS HEALTH  AT HARRISONBURG LLC</t>
  </si>
  <si>
    <t>495146</t>
  </si>
  <si>
    <t>SC</t>
  </si>
  <si>
    <t>G:H</t>
  </si>
  <si>
    <t>Daily Cleaning Competency</t>
  </si>
  <si>
    <t>ALDERSGATE VILLAGE</t>
  </si>
  <si>
    <t>175340</t>
  </si>
  <si>
    <t>ABC HEALTH CARE</t>
  </si>
  <si>
    <t>265513</t>
  </si>
  <si>
    <t>BAYVIEW MANOR</t>
  </si>
  <si>
    <t>425067</t>
  </si>
  <si>
    <t>ACCORDIUS HEALTH AT BAY POINTE LLC</t>
  </si>
  <si>
    <t>495086</t>
  </si>
  <si>
    <t>VA</t>
  </si>
  <si>
    <t>J:K</t>
  </si>
  <si>
    <t>Terminal Cleaning Competency</t>
  </si>
  <si>
    <t>ALMA MANOR</t>
  </si>
  <si>
    <t>175346</t>
  </si>
  <si>
    <t>ABERDEEN HEIGHTS</t>
  </si>
  <si>
    <t>265841</t>
  </si>
  <si>
    <t>BETHEA BAPTIST HEALTHCARE CENTER</t>
  </si>
  <si>
    <t>425372</t>
  </si>
  <si>
    <t>ACCORDIUS HEALTH AT EMPORIA</t>
  </si>
  <si>
    <t>495375</t>
  </si>
  <si>
    <t>Vaccination Rate</t>
  </si>
  <si>
    <t>ANDBE HOME, INC</t>
  </si>
  <si>
    <t>175506</t>
  </si>
  <si>
    <t>ACKERT PARK SKILLED NURSING &amp; REHABILITATION CENTE</t>
  </si>
  <si>
    <t>265831</t>
  </si>
  <si>
    <t>BISHOP GADSDEN EPISCOPAL HEALTH CARE CENTER</t>
  </si>
  <si>
    <t>425411</t>
  </si>
  <si>
    <t>ACCORDIUS HEALTH AT LYNCHBURG LLC</t>
  </si>
  <si>
    <t>495151</t>
  </si>
  <si>
    <t>Surveillance Rate</t>
  </si>
  <si>
    <t>ANDERSON COUNTY HOSPITAL LTCU</t>
  </si>
  <si>
    <t>17E577</t>
  </si>
  <si>
    <t>ADAMS STREET -A STONEBRIDGE COMMUNITY</t>
  </si>
  <si>
    <t>265810</t>
  </si>
  <si>
    <t>BLUE RIDGE IN BROOKVIEW HOUSE, LLC</t>
  </si>
  <si>
    <t>425062</t>
  </si>
  <si>
    <t>ACCORDIUS HEALTH AT NANSEMOND POINTE LLC</t>
  </si>
  <si>
    <t>495247</t>
  </si>
  <si>
    <t>ANTHONY COMMUNITY CARE CENTER</t>
  </si>
  <si>
    <t>17E630</t>
  </si>
  <si>
    <t>ADRIAN MANOR HEALTH &amp; REHABILITATION CENTER</t>
  </si>
  <si>
    <t>265780</t>
  </si>
  <si>
    <t>BLUE RIDGE IN GEORGETOWN</t>
  </si>
  <si>
    <t>425048</t>
  </si>
  <si>
    <t>ACCORDIUS HEALTH AT RIVER POINTE LLC</t>
  </si>
  <si>
    <t>495241</t>
  </si>
  <si>
    <t>APOSTOLIC CHRISTIAN HOME</t>
  </si>
  <si>
    <t>175376</t>
  </si>
  <si>
    <t>ADVANCE NURSING CENTER</t>
  </si>
  <si>
    <t>265550</t>
  </si>
  <si>
    <t>BLUE RIDGE OF SUMTER</t>
  </si>
  <si>
    <t>425310</t>
  </si>
  <si>
    <t>ACCORDIUS HEALTH AT ROANOKE</t>
  </si>
  <si>
    <t>495156</t>
  </si>
  <si>
    <t>ARKANSAS CITY PRESBYTERIAN MANOR</t>
  </si>
  <si>
    <t>175309</t>
  </si>
  <si>
    <t>ALEXIAN BROTHERS LANSDOWNE VILLAGE</t>
  </si>
  <si>
    <t>265351</t>
  </si>
  <si>
    <t>BRIAN CENTER NURSING CARE - ST ANDREWS</t>
  </si>
  <si>
    <t>425129</t>
  </si>
  <si>
    <t>ACCORDIUS HEALTH AT WAYNESBORO LLC</t>
  </si>
  <si>
    <t>495147</t>
  </si>
  <si>
    <t>ARMA OPERATOR, LLC</t>
  </si>
  <si>
    <t>175353</t>
  </si>
  <si>
    <t>ALEXIAN BROTHERS SHERBROOKE VILLAGE</t>
  </si>
  <si>
    <t>265417</t>
  </si>
  <si>
    <t>BROAD CREEK CARE CENTER</t>
  </si>
  <si>
    <t>425351</t>
  </si>
  <si>
    <t>ALBEMARLE HEALTH AND REHABILITATION CENTER</t>
  </si>
  <si>
    <t>495420</t>
  </si>
  <si>
    <t>ASBURY PARK</t>
  </si>
  <si>
    <t>175385</t>
  </si>
  <si>
    <t>APPLE RIDGE CARE CENTER</t>
  </si>
  <si>
    <t>265420</t>
  </si>
  <si>
    <t>BROOKDALE ANDERSON</t>
  </si>
  <si>
    <t>425398</t>
  </si>
  <si>
    <t>ALLEGHANY HEALTH AND REHAB</t>
  </si>
  <si>
    <t>495141</t>
  </si>
  <si>
    <t>ATCHISON SENIOR VILLAGE</t>
  </si>
  <si>
    <t>175531</t>
  </si>
  <si>
    <t>APPLETON CITY MANOR</t>
  </si>
  <si>
    <t>265843</t>
  </si>
  <si>
    <t>BROOKDALE EASLEY</t>
  </si>
  <si>
    <t>425409</t>
  </si>
  <si>
    <t>ANNANDALE  HEALTHCARE CENTER</t>
  </si>
  <si>
    <t>495155</t>
  </si>
  <si>
    <t>ATTICA LONG TERM CARE FACILITY</t>
  </si>
  <si>
    <t>17E534</t>
  </si>
  <si>
    <t>ARMOUR OAKS SENIOR LIVING COMMUNITY</t>
  </si>
  <si>
    <t>265802</t>
  </si>
  <si>
    <t>BRUSHY CREEK POST ACUTE</t>
  </si>
  <si>
    <t>425004</t>
  </si>
  <si>
    <t>APPOMATTOX HEALTH AND REHABILITATON CENTER</t>
  </si>
  <si>
    <t>495188</t>
  </si>
  <si>
    <t>AVITA HEALTH AND REHAB AT REEDS COVE</t>
  </si>
  <si>
    <t>175532</t>
  </si>
  <si>
    <t>ARROWHEAD SENIOR LIVING COMMUNITY</t>
  </si>
  <si>
    <t>265876</t>
  </si>
  <si>
    <t>C M TUCKER JR NURSING CARE</t>
  </si>
  <si>
    <t>425074</t>
  </si>
  <si>
    <t>ARLEIGH BURKE PAVILION</t>
  </si>
  <si>
    <t>495410</t>
  </si>
  <si>
    <t>AZRIA HEALTH OLATHE</t>
  </si>
  <si>
    <t>175557</t>
  </si>
  <si>
    <t>ASH GROVE HEALTHCARE FACILITY</t>
  </si>
  <si>
    <t>265571</t>
  </si>
  <si>
    <t>C M TUCKER NURSING CARE CENTER - RODDEY</t>
  </si>
  <si>
    <t>425360</t>
  </si>
  <si>
    <t>ASHBY PONDS INC</t>
  </si>
  <si>
    <t>495416</t>
  </si>
  <si>
    <t>AZRIA HEALTH WOODHAVEN</t>
  </si>
  <si>
    <t>175354</t>
  </si>
  <si>
    <t>ASHLAND HEALTHCARE</t>
  </si>
  <si>
    <t>265707</t>
  </si>
  <si>
    <t>CAPSTONE REHABILITATION AND HEALTHCARE</t>
  </si>
  <si>
    <t>425298</t>
  </si>
  <si>
    <t>ASHLAND NURSING AND REHABILITATION</t>
  </si>
  <si>
    <t>495362</t>
  </si>
  <si>
    <t>BALDWIN HEALTHCARE &amp; REHAB CENTER, LLC</t>
  </si>
  <si>
    <t>175338</t>
  </si>
  <si>
    <t>ASHLEY MANOR CARE CENTER</t>
  </si>
  <si>
    <t>265738</t>
  </si>
  <si>
    <t>CARLYLE SENIOR CARE OF AIKEN</t>
  </si>
  <si>
    <t>425014</t>
  </si>
  <si>
    <t>AUGUSTA MEDICAL CTR SKILLED CA</t>
  </si>
  <si>
    <t>495214</t>
  </si>
  <si>
    <t>BELLEVILLE HEALTH CARE CENTER</t>
  </si>
  <si>
    <t>175246</t>
  </si>
  <si>
    <t>ASHTON COURT CARE AND REHABILITATION CENTRE</t>
  </si>
  <si>
    <t>265437</t>
  </si>
  <si>
    <t>CARLYLE SENIOR CARE OF FLORENCE</t>
  </si>
  <si>
    <t>425163</t>
  </si>
  <si>
    <t>AUGUSTA NURSING &amp; REHAB CENTER</t>
  </si>
  <si>
    <t>495336</t>
  </si>
  <si>
    <t>BETHANY HOME ASSOCIATION</t>
  </si>
  <si>
    <t>175507</t>
  </si>
  <si>
    <t>AURORA NURSING CENTER</t>
  </si>
  <si>
    <t>265182</t>
  </si>
  <si>
    <t>CARLYLE SENIOR CARE OF FOUNTAIN INN</t>
  </si>
  <si>
    <t>425168</t>
  </si>
  <si>
    <t>AUTUMN CARE OF ALTAVISTA</t>
  </si>
  <si>
    <t>495196</t>
  </si>
  <si>
    <t>BETHEL HEALTH CARE CENTER</t>
  </si>
  <si>
    <t>175402</t>
  </si>
  <si>
    <t>AUTUMN OAKS CARING CENTER</t>
  </si>
  <si>
    <t>265406</t>
  </si>
  <si>
    <t>CARLYLE SENIOR CARE OF KINGSTREE</t>
  </si>
  <si>
    <t>425117</t>
  </si>
  <si>
    <t>AUTUMN CARE OF CHESAPEAKE</t>
  </si>
  <si>
    <t>495256</t>
  </si>
  <si>
    <t>BETHEL HOME</t>
  </si>
  <si>
    <t>175528</t>
  </si>
  <si>
    <t>AUTUMN TERRACE HEALTH &amp; REHABILITATION</t>
  </si>
  <si>
    <t>265339</t>
  </si>
  <si>
    <t>CHERAW HEALTHCARE</t>
  </si>
  <si>
    <t>425005</t>
  </si>
  <si>
    <t>AUTUMN CARE OF MADISON</t>
  </si>
  <si>
    <t>495244</t>
  </si>
  <si>
    <t>BETHESDA HOME</t>
  </si>
  <si>
    <t>175403</t>
  </si>
  <si>
    <t>AVALON GARDEN</t>
  </si>
  <si>
    <t>265828</t>
  </si>
  <si>
    <t>CHESTERFIELD CONVALESCENT CENTER</t>
  </si>
  <si>
    <t>425302</t>
  </si>
  <si>
    <t>AUTUMN CARE OF MECHANICSVILLE</t>
  </si>
  <si>
    <t>495413</t>
  </si>
  <si>
    <t>BIG BLUE HEALTHCARE, INC, DBA RIVERBEND POST ACUTE</t>
  </si>
  <si>
    <t>175298</t>
  </si>
  <si>
    <t>BAISCH NURSING CENTER</t>
  </si>
  <si>
    <t>265714</t>
  </si>
  <si>
    <t>COMMANDER NURSING CENTER</t>
  </si>
  <si>
    <t>425119</t>
  </si>
  <si>
    <t>AUTUMN CARE OF NORFOLK</t>
  </si>
  <si>
    <t>495253</t>
  </si>
  <si>
    <t>BONNER SPRINGS NURSING &amp; REHAB CENTER</t>
  </si>
  <si>
    <t>175401</t>
  </si>
  <si>
    <t>BALLWIN RIDGE HEALTH &amp; REHABILITATION</t>
  </si>
  <si>
    <t>265539</t>
  </si>
  <si>
    <t>COMPASS POST ACUTE REHABILITATION</t>
  </si>
  <si>
    <t>425391</t>
  </si>
  <si>
    <t>AUTUMN CARE OF PORTSMOUTH</t>
  </si>
  <si>
    <t>495194</t>
  </si>
  <si>
    <t>BRANDON WOODS AT ALVAMAR</t>
  </si>
  <si>
    <t>175277</t>
  </si>
  <si>
    <t>BARNES-JEWISH EXTENDED CARE</t>
  </si>
  <si>
    <t>265439</t>
  </si>
  <si>
    <t>CONDOR HEALTH ANDERSON</t>
  </si>
  <si>
    <t>425047</t>
  </si>
  <si>
    <t>AUTUMN CARE OF SUFFOLK</t>
  </si>
  <si>
    <t>495258</t>
  </si>
  <si>
    <t>BREWSTER HEALTH CENTER</t>
  </si>
  <si>
    <t>175044</t>
  </si>
  <si>
    <t>BEAUTIFUL SAVIOR HOME</t>
  </si>
  <si>
    <t>265782</t>
  </si>
  <si>
    <t>CONWAY MANOR</t>
  </si>
  <si>
    <t>425121</t>
  </si>
  <si>
    <t>BATTLEFIELD PARK HEALTHCARE CENTER</t>
  </si>
  <si>
    <t>495252</t>
  </si>
  <si>
    <t>BRIGHTON GARDENS OF PRAIRIE VILLAGE</t>
  </si>
  <si>
    <t>175499</t>
  </si>
  <si>
    <t>BEAUVAIS MANOR HEALTHCARE &amp; REHAB CENTER</t>
  </si>
  <si>
    <t>265699</t>
  </si>
  <si>
    <t>COUNTRYWOOD NURSING CENTER, LLC</t>
  </si>
  <si>
    <t>425370</t>
  </si>
  <si>
    <t>BAYSIDE HEALTH &amp; REHABILITATION CENTER</t>
  </si>
  <si>
    <t>495213</t>
  </si>
  <si>
    <t>BRIGHTON PLACE NORTH</t>
  </si>
  <si>
    <t>17E256</t>
  </si>
  <si>
    <t>BELLEFONTAINE GARDENS NURSING &amp; REHAB</t>
  </si>
  <si>
    <t>265709</t>
  </si>
  <si>
    <t>DR RONALD E MCNAIR NURSING &amp; REHABILITATION CENTER</t>
  </si>
  <si>
    <t>425309</t>
  </si>
  <si>
    <t>BAYSIDE OF POQUOSON HEALTH AND REHAB</t>
  </si>
  <si>
    <t>495264</t>
  </si>
  <si>
    <t>BRIGHTON PLACE WEST</t>
  </si>
  <si>
    <t>175547</t>
  </si>
  <si>
    <t>BELLEVIEW VALLEY NURSING HOME</t>
  </si>
  <si>
    <t>265258</t>
  </si>
  <si>
    <t>DUNDEE MANOR, LLC</t>
  </si>
  <si>
    <t>425118</t>
  </si>
  <si>
    <t>BEAUFONT HEALTH AND REHABILITATION CENTER</t>
  </si>
  <si>
    <t>495260</t>
  </si>
  <si>
    <t>BROOKDALE OVERLAND PARK</t>
  </si>
  <si>
    <t>175517</t>
  </si>
  <si>
    <t>BENTLEYS EXTENDED CARE</t>
  </si>
  <si>
    <t>265732</t>
  </si>
  <si>
    <t>EDISTO POST ACUTE</t>
  </si>
  <si>
    <t>425116</t>
  </si>
  <si>
    <t>BEDFORD CO NURSING HOME</t>
  </si>
  <si>
    <t>49E004</t>
  </si>
  <si>
    <t>BROOKDALE ROSEHILL</t>
  </si>
  <si>
    <t>175478</t>
  </si>
  <si>
    <t>BENTONVIEW PARK HEALTH &amp; REHABILITATION</t>
  </si>
  <si>
    <t>265410</t>
  </si>
  <si>
    <t>ELLEN SAGAR NURSING CENTER</t>
  </si>
  <si>
    <t>425012</t>
  </si>
  <si>
    <t>BELVOIR WOODS HEALTH CARE CENTER AT THE FAIRFAX</t>
  </si>
  <si>
    <t>495197</t>
  </si>
  <si>
    <t>BROOKSIDE RETIREMENT COMMUNITY</t>
  </si>
  <si>
    <t>175145</t>
  </si>
  <si>
    <t>BENTWOOD NURSING &amp; REHAB</t>
  </si>
  <si>
    <t>265757</t>
  </si>
  <si>
    <t>EMERITUS AT GREENVILLE</t>
  </si>
  <si>
    <t>425373</t>
  </si>
  <si>
    <t>BERKSHIRE HEALTH &amp; REHABILITATION CENTER</t>
  </si>
  <si>
    <t>495293</t>
  </si>
  <si>
    <t>BUHLER SUNSHINE HOME</t>
  </si>
  <si>
    <t>175404</t>
  </si>
  <si>
    <t>BERNARD CARE CENTER</t>
  </si>
  <si>
    <t>265500</t>
  </si>
  <si>
    <t>FAITH HEALTHCARE CENTER</t>
  </si>
  <si>
    <t>425009</t>
  </si>
  <si>
    <t>BERRY HILL NURSING HOME</t>
  </si>
  <si>
    <t>495318</t>
  </si>
  <si>
    <t>CAMBRIDGE PLACE</t>
  </si>
  <si>
    <t>175350</t>
  </si>
  <si>
    <t>BERTRAND NURSING AND REHAB CENTER</t>
  </si>
  <si>
    <t>265678</t>
  </si>
  <si>
    <t>FLEETWOOD REHABILITATION AND HEALTHCARE CENTER</t>
  </si>
  <si>
    <t>425018</t>
  </si>
  <si>
    <t>BETH SHOLOM HOME OF EASTERN VI</t>
  </si>
  <si>
    <t>495186</t>
  </si>
  <si>
    <t>CARITAS CENTER, INC</t>
  </si>
  <si>
    <t>175534</t>
  </si>
  <si>
    <t>BETH HAVEN NURSING HOME</t>
  </si>
  <si>
    <t>265108</t>
  </si>
  <si>
    <t>FRANKE HEALTH CARE CENTER</t>
  </si>
  <si>
    <t>425374</t>
  </si>
  <si>
    <t>BETH SHOLOM HOME OF VIRGINIA</t>
  </si>
  <si>
    <t>495291</t>
  </si>
  <si>
    <t>CATHOLIC CARE CENTER, INC</t>
  </si>
  <si>
    <t>175410</t>
  </si>
  <si>
    <t>BETHESDA DILWORTH</t>
  </si>
  <si>
    <t>265764</t>
  </si>
  <si>
    <t>FRASER HEALTH CENTER</t>
  </si>
  <si>
    <t>425150</t>
  </si>
  <si>
    <t>BIRMINGHAM GREEN</t>
  </si>
  <si>
    <t>495390</t>
  </si>
  <si>
    <t>CENTER AT WATERFRONT LLC</t>
  </si>
  <si>
    <t>175564</t>
  </si>
  <si>
    <t>BETHESDA MEADOW</t>
  </si>
  <si>
    <t>265766</t>
  </si>
  <si>
    <t>GOLDEN AGE INMAN</t>
  </si>
  <si>
    <t>425316</t>
  </si>
  <si>
    <t>BLAND COUNTY NURSING &amp; REHABILITATION CENTER</t>
  </si>
  <si>
    <t>495191</t>
  </si>
  <si>
    <t>CHAPMAN VALLEY MANOR</t>
  </si>
  <si>
    <t>175474</t>
  </si>
  <si>
    <t>BETHESDA SOUTHGATE</t>
  </si>
  <si>
    <t>265756</t>
  </si>
  <si>
    <t>GRAND STRAND REHAB AND NURSING CENTER, LLC</t>
  </si>
  <si>
    <t>425323</t>
  </si>
  <si>
    <t>BLUE RIDGE THERAPY CONNECTION</t>
  </si>
  <si>
    <t>495306</t>
  </si>
  <si>
    <t>CHASE COUNTY OPERATOR LLC</t>
  </si>
  <si>
    <t>175223</t>
  </si>
  <si>
    <t>BIG BEND WOODS HEALTHCARE CENTER</t>
  </si>
  <si>
    <t>265130</t>
  </si>
  <si>
    <t>GREENVILLE POST ACUTE</t>
  </si>
  <si>
    <t>425042</t>
  </si>
  <si>
    <t>BON SECOURS DEPAUL,TCC</t>
  </si>
  <si>
    <t>495346</t>
  </si>
  <si>
    <t>CHENEY GOLDEN AGE HOME</t>
  </si>
  <si>
    <t>175399</t>
  </si>
  <si>
    <t>BIG RIVER NURSING &amp; REHAB</t>
  </si>
  <si>
    <t>265430</t>
  </si>
  <si>
    <t>GREENWOOD TRANSITIONAL REHABILITATION UNIT</t>
  </si>
  <si>
    <t>425388</t>
  </si>
  <si>
    <t>BON SECOURS-MARYVIEW NURSING C</t>
  </si>
  <si>
    <t>495206</t>
  </si>
  <si>
    <t>CHERRYVALE NURSING AND REHABILITATION CENTER</t>
  </si>
  <si>
    <t>175335</t>
  </si>
  <si>
    <t>BIG SPRING CARE CENTER FOR REHAB AND HEALTHCARE</t>
  </si>
  <si>
    <t>265573</t>
  </si>
  <si>
    <t>GREER REHABILITATION AND HEALTHCARE CENTER</t>
  </si>
  <si>
    <t>425138</t>
  </si>
  <si>
    <t>BONVIEW REHABILITATION AND HEALTHCARE</t>
  </si>
  <si>
    <t>495423</t>
  </si>
  <si>
    <t>CHETOPA MANOR</t>
  </si>
  <si>
    <t>175396</t>
  </si>
  <si>
    <t>BIRCH POINTE HEALTH AND REHABILITATION</t>
  </si>
  <si>
    <t>265865</t>
  </si>
  <si>
    <t>HALLMARK HEALTHCARE CENTER</t>
  </si>
  <si>
    <t>425326</t>
  </si>
  <si>
    <t>BOWLING GREEN HEALTH &amp; REHABILITATION CENTER</t>
  </si>
  <si>
    <t>495297</t>
  </si>
  <si>
    <t>CHEYENNE COUNTY VILLAGE INC</t>
  </si>
  <si>
    <t>175347</t>
  </si>
  <si>
    <t>BIRCH VIEW NURSING CENTER</t>
  </si>
  <si>
    <t>265368</t>
  </si>
  <si>
    <t>HEALTHCARE CENTER OF WESLEY COMMONS</t>
  </si>
  <si>
    <t>425078</t>
  </si>
  <si>
    <t>BRANDON OAKS NURSING AND REHABILITATION CENTER</t>
  </si>
  <si>
    <t>495373</t>
  </si>
  <si>
    <t>CITIZENS MEDICAL CENTER LTCU</t>
  </si>
  <si>
    <t>175554</t>
  </si>
  <si>
    <t>BISHOP SPENCER PLACE, INC, THE</t>
  </si>
  <si>
    <t>265768</t>
  </si>
  <si>
    <t>HEARTLAND HEALTH AND REHABILITATION CARE CENTER-HA</t>
  </si>
  <si>
    <t>425289</t>
  </si>
  <si>
    <t>BRIAN CENTER HEALTH AND REHABILITATION</t>
  </si>
  <si>
    <t>495218</t>
  </si>
  <si>
    <t>CLARIDGE COURT</t>
  </si>
  <si>
    <t>175343</t>
  </si>
  <si>
    <t>BLOOMFIELD LIVING CENTER</t>
  </si>
  <si>
    <t>265451</t>
  </si>
  <si>
    <t>HEARTLAND HEALTH CARE CENTER - GREENVILLE EAST</t>
  </si>
  <si>
    <t>425106</t>
  </si>
  <si>
    <t>BRIDGEWATER HOME , INC.</t>
  </si>
  <si>
    <t>495370</t>
  </si>
  <si>
    <t>CLAY CENTER PRESBYTERIAN MANOR</t>
  </si>
  <si>
    <t>175310</t>
  </si>
  <si>
    <t>BLUE CIRCLE REHAB AND NURSING</t>
  </si>
  <si>
    <t>265817</t>
  </si>
  <si>
    <t>HEARTLAND HEALTH CARE CENTER - GREENVILLE WEST</t>
  </si>
  <si>
    <t>425294</t>
  </si>
  <si>
    <t>BROOKSIDE REHAB &amp; NURSING CENTER</t>
  </si>
  <si>
    <t>495267</t>
  </si>
  <si>
    <t>CLEARWATER NURSING &amp; REHABILITATION CENTER</t>
  </si>
  <si>
    <t>175454</t>
  </si>
  <si>
    <t>BLUFFS, THE</t>
  </si>
  <si>
    <t>265498</t>
  </si>
  <si>
    <t>HEARTLAND HEALTH CARE CENTER - UNION</t>
  </si>
  <si>
    <t>425142</t>
  </si>
  <si>
    <t>BURKE HEALTH AND REHABILITATION CENTER</t>
  </si>
  <si>
    <t>495248</t>
  </si>
  <si>
    <t>COFFEY COUNTY HOSPITAL LTCU</t>
  </si>
  <si>
    <t>17E473</t>
  </si>
  <si>
    <t>BRENT B TINNIN MANOR</t>
  </si>
  <si>
    <t>265472</t>
  </si>
  <si>
    <t>HEARTLAND OF COLUMBIA REHAB AND NURSING CENTER</t>
  </si>
  <si>
    <t>425008</t>
  </si>
  <si>
    <t>CANTERBURY REHABILITATION &amp; HEALTH CARE CENTER</t>
  </si>
  <si>
    <t>495272</t>
  </si>
  <si>
    <t>COLBY OPERATOR, LLC</t>
  </si>
  <si>
    <t>175202</t>
  </si>
  <si>
    <t>BRIDGEWOOD HEALTH CARE CENTER</t>
  </si>
  <si>
    <t>265822</t>
  </si>
  <si>
    <t>HEARTLAND OF WEST ASHLEY REHAB AND NURSING CENTER</t>
  </si>
  <si>
    <t>425362</t>
  </si>
  <si>
    <t>CARRIAGE HILL HEALTH AND REHAB CENTER</t>
  </si>
  <si>
    <t>495396</t>
  </si>
  <si>
    <t>COLONIAL VILLAGE</t>
  </si>
  <si>
    <t>175560</t>
  </si>
  <si>
    <t>BROOKE HAVEN HEALTHCARE</t>
  </si>
  <si>
    <t>265400</t>
  </si>
  <si>
    <t>HERITAGE HEALTHCARE OF PICKENS</t>
  </si>
  <si>
    <t>425306</t>
  </si>
  <si>
    <t>CARRINGTON PLACE AT BOTETOURT COMMONS</t>
  </si>
  <si>
    <t>495386</t>
  </si>
  <si>
    <t>COMMUNITY HOSPITAL ONAGA LTCU</t>
  </si>
  <si>
    <t>17E242</t>
  </si>
  <si>
    <t>BROOKHAVEN NURSING &amp; REHAB</t>
  </si>
  <si>
    <t>265835</t>
  </si>
  <si>
    <t>HERITAGE HOME OF FLORENCE INC</t>
  </si>
  <si>
    <t>425154</t>
  </si>
  <si>
    <t>CARRINGTON PLACE AT RURAL RETREAT</t>
  </si>
  <si>
    <t>495417</t>
  </si>
  <si>
    <t>COUNTRY CARE, INC</t>
  </si>
  <si>
    <t>175411</t>
  </si>
  <si>
    <t>BROOKING PARK</t>
  </si>
  <si>
    <t>265791</t>
  </si>
  <si>
    <t>HONORAGE NURSING CENTER</t>
  </si>
  <si>
    <t>425115</t>
  </si>
  <si>
    <t>CARRINGTON PLACE AT WYTHEVILLE - BIRDMONT CENTER</t>
  </si>
  <si>
    <t>495349</t>
  </si>
  <si>
    <t>COUNTRYSIDE HEALTH CENTER</t>
  </si>
  <si>
    <t>17E528</t>
  </si>
  <si>
    <t>BRUNSWICK NURSING &amp; REHAB</t>
  </si>
  <si>
    <t>265598</t>
  </si>
  <si>
    <t>INMAN HEALTHCARE</t>
  </si>
  <si>
    <t>425122</t>
  </si>
  <si>
    <t>CARRINGTON PLACE OF TAPPAHANNOCK</t>
  </si>
  <si>
    <t>495328</t>
  </si>
  <si>
    <t>CRESTVIEW NURSING &amp; RESIDENTIAL LIVING</t>
  </si>
  <si>
    <t>175426</t>
  </si>
  <si>
    <t>BUFFALO PRAIRIE CENTER FOR REHAB AND HEALTHCARE</t>
  </si>
  <si>
    <t>265471</t>
  </si>
  <si>
    <t>IVA REHABILITATION AND HEALTHCARE CENTER</t>
  </si>
  <si>
    <t>425317</t>
  </si>
  <si>
    <t>CEDARS HEALTHCARE CENTER</t>
  </si>
  <si>
    <t>495153</t>
  </si>
  <si>
    <t>CUMBERNAULD VILLAGE</t>
  </si>
  <si>
    <t>17E589</t>
  </si>
  <si>
    <t>BUTLER CENTER FOR REHABILITATION AND HEALTHCARE</t>
  </si>
  <si>
    <t>265275</t>
  </si>
  <si>
    <t>J F HAWKINS NURSING HOME</t>
  </si>
  <si>
    <t>425035</t>
  </si>
  <si>
    <t>CHARLOTTESVILLE HEALTH &amp; REHABILITATION CENTER</t>
  </si>
  <si>
    <t>495178</t>
  </si>
  <si>
    <t>DAWSON PLACE</t>
  </si>
  <si>
    <t>17E451</t>
  </si>
  <si>
    <t>CALIFORNIA CARE CENTER</t>
  </si>
  <si>
    <t>265396</t>
  </si>
  <si>
    <t>JOHN EDWARD HARTER NURSING CENTER</t>
  </si>
  <si>
    <t>425103</t>
  </si>
  <si>
    <t>CHASE CITY HEALTH AND REHAB CENTER</t>
  </si>
  <si>
    <t>495380</t>
  </si>
  <si>
    <t>DELMAR GARDENS OF LENEXA</t>
  </si>
  <si>
    <t>175122</t>
  </si>
  <si>
    <t>CAMDENTON WINDSOR ESTATES</t>
  </si>
  <si>
    <t>265091</t>
  </si>
  <si>
    <t>JOHNS ISLAND POST ACUTE</t>
  </si>
  <si>
    <t>425368</t>
  </si>
  <si>
    <t>CHATHAM HEALTH &amp; REHABILITATION CENTER</t>
  </si>
  <si>
    <t>495399</t>
  </si>
  <si>
    <t>DELMAR GARDENS OF OVERLAND PARK</t>
  </si>
  <si>
    <t>175182</t>
  </si>
  <si>
    <t>CAMELOT NURSING AND REHABILITATION CENTER</t>
  </si>
  <si>
    <t>265348</t>
  </si>
  <si>
    <t>JOLLEY ACRES HEALTHCARE CENTER</t>
  </si>
  <si>
    <t>425055</t>
  </si>
  <si>
    <t>CHERRYDALE HEALTH AND REHABILITATION CENTER</t>
  </si>
  <si>
    <t>495121</t>
  </si>
  <si>
    <t>DERBY HEALTH &amp; REHABILITATION, LLC</t>
  </si>
  <si>
    <t>175514</t>
  </si>
  <si>
    <t>CARNEGIE VILLAGE REHABILITATION &amp; HEALTH CARE CENT</t>
  </si>
  <si>
    <t>265861</t>
  </si>
  <si>
    <t>KERSHAWHEALTH KARESH LONG TERM CARE</t>
  </si>
  <si>
    <t>425080</t>
  </si>
  <si>
    <t>CHESAPEAKE HEALTH AND REHABILITATION CENTER</t>
  </si>
  <si>
    <t>495108</t>
  </si>
  <si>
    <t>DIVERSICARE OF CHANUTE</t>
  </si>
  <si>
    <t>175214</t>
  </si>
  <si>
    <t>CARONDELET MANOR</t>
  </si>
  <si>
    <t>265303</t>
  </si>
  <si>
    <t>L.M.C.- EXTENDED CARE</t>
  </si>
  <si>
    <t>425321</t>
  </si>
  <si>
    <t>CHILDRENS HOSPITAL</t>
  </si>
  <si>
    <t>49A022</t>
  </si>
  <si>
    <t>DIVERSICARE OF COUNCIL GROVE</t>
  </si>
  <si>
    <t>175239</t>
  </si>
  <si>
    <t>CARRIAGE SQUARE LIVING &amp; REHAB CENTER</t>
  </si>
  <si>
    <t>265336</t>
  </si>
  <si>
    <t>LAKE CITY SCRANTON HEALTHCARE CENTER</t>
  </si>
  <si>
    <t>425149</t>
  </si>
  <si>
    <t>CLINCH VALLEY MEDICAL CENTER</t>
  </si>
  <si>
    <t>495181</t>
  </si>
  <si>
    <t>DIVERSICARE OF HAYSVILLE</t>
  </si>
  <si>
    <t>175133</t>
  </si>
  <si>
    <t>CARRIE ELLIGSON GIETNER HOME</t>
  </si>
  <si>
    <t>265668</t>
  </si>
  <si>
    <t>LAKE EMORY POST ACUTE CARE</t>
  </si>
  <si>
    <t>425303</t>
  </si>
  <si>
    <t>COLISEUM CONVALESCENT AND REHABILITATION CENTER</t>
  </si>
  <si>
    <t>495305</t>
  </si>
  <si>
    <t>DIVERSICARE OF HUTCHINSON</t>
  </si>
  <si>
    <t>175114</t>
  </si>
  <si>
    <t>CARROLL HOUSE</t>
  </si>
  <si>
    <t>265706</t>
  </si>
  <si>
    <t>LAKE MARION NURSING FACILITY</t>
  </si>
  <si>
    <t>425300</t>
  </si>
  <si>
    <t>COLONIAL HEIGHTS REHABILITATION AND NURSING CENTER</t>
  </si>
  <si>
    <t>495115</t>
  </si>
  <si>
    <t>DIVERSICARE OF LARNED</t>
  </si>
  <si>
    <t>175235</t>
  </si>
  <si>
    <t>CARTHAGE HEALTH AND REHABILITATION CENTER</t>
  </si>
  <si>
    <t>265320</t>
  </si>
  <si>
    <t>LAKE MOULTRIE NURSING HOME</t>
  </si>
  <si>
    <t>425341</t>
  </si>
  <si>
    <t>COLONNADES HEALTH CARE CENTER</t>
  </si>
  <si>
    <t>495254</t>
  </si>
  <si>
    <t>DIVERSICARE OF SEDGWICK</t>
  </si>
  <si>
    <t>175254</t>
  </si>
  <si>
    <t>CASSVILLE HEALTH CENTER FOR REHAB AND HEALTHCARE</t>
  </si>
  <si>
    <t>265460</t>
  </si>
  <si>
    <t>LAKES AT LITCHFIELD</t>
  </si>
  <si>
    <t>425380</t>
  </si>
  <si>
    <t>COMMUNITY MEMORIAL HOSPITAL HUNDLEY CENTER</t>
  </si>
  <si>
    <t>495177</t>
  </si>
  <si>
    <t>DOOLEY CENTER</t>
  </si>
  <si>
    <t>17E585</t>
  </si>
  <si>
    <t>CEDAR POINTE</t>
  </si>
  <si>
    <t>265279</t>
  </si>
  <si>
    <t>LANCASTER CONVALESCENT CENTER</t>
  </si>
  <si>
    <t>425155</t>
  </si>
  <si>
    <t>CONSULATE HEALTH CARE OF NORFOLK</t>
  </si>
  <si>
    <t>495273</t>
  </si>
  <si>
    <t>DOWNS OPERATOR LLC</t>
  </si>
  <si>
    <t>175201</t>
  </si>
  <si>
    <t>CEDARCREST MANOR</t>
  </si>
  <si>
    <t>265202</t>
  </si>
  <si>
    <t>LAUREL BAYE HEALTHCARE BLACKVILLE</t>
  </si>
  <si>
    <t>425319</t>
  </si>
  <si>
    <t>CONSULATE HEALTH CARE OF WINDSOR</t>
  </si>
  <si>
    <t>495347</t>
  </si>
  <si>
    <t>EASTRIDGE</t>
  </si>
  <si>
    <t>175374</t>
  </si>
  <si>
    <t>CEDARGATE HEALTHCARE</t>
  </si>
  <si>
    <t>265205</t>
  </si>
  <si>
    <t>LIFE CARE CENTER OF CHARLESTON</t>
  </si>
  <si>
    <t>425332</t>
  </si>
  <si>
    <t>CONSULATE HEALTH CARE OF WOODSTOCK</t>
  </si>
  <si>
    <t>495315</t>
  </si>
  <si>
    <t>EDWARDSVILLE OPERATOR LLC</t>
  </si>
  <si>
    <t>175245</t>
  </si>
  <si>
    <t>CHAFFEE NURSING CENTER</t>
  </si>
  <si>
    <t>265492</t>
  </si>
  <si>
    <t>LIFE CARE CENTER OF COLUMBIA</t>
  </si>
  <si>
    <t>425337</t>
  </si>
  <si>
    <t>CONSULATE HEALTHCARE OF WILLIAMSBURG</t>
  </si>
  <si>
    <t>495190</t>
  </si>
  <si>
    <t>EL DORADO OPERATOR LLC</t>
  </si>
  <si>
    <t>175324</t>
  </si>
  <si>
    <t>CHARITON PARK HEALTH CARE CENTER</t>
  </si>
  <si>
    <t>265526</t>
  </si>
  <si>
    <t>LIFE CARE CENTER OF HILTON HEAD</t>
  </si>
  <si>
    <t>425147</t>
  </si>
  <si>
    <t>COURTLAND HEALTH &amp; REHABILITATION CENTER</t>
  </si>
  <si>
    <t>495296</t>
  </si>
  <si>
    <t>ELMHAVEN EAST</t>
  </si>
  <si>
    <t>175415</t>
  </si>
  <si>
    <t>CHARLESTON MANOR</t>
  </si>
  <si>
    <t>265165</t>
  </si>
  <si>
    <t>LINLEY PARK REHABILITATION AND HEALTHCARE CENTER,</t>
  </si>
  <si>
    <t>425016</t>
  </si>
  <si>
    <t>COVENANT WOODS NURSING HOME</t>
  </si>
  <si>
    <t>495419</t>
  </si>
  <si>
    <t>EMPORIA PRESBYTERIAN MANOR</t>
  </si>
  <si>
    <t>175304</t>
  </si>
  <si>
    <t>CHATEAU GIRARDEAU</t>
  </si>
  <si>
    <t>265142</t>
  </si>
  <si>
    <t>LINVILLE COURT AT THE CASCADES VERDAE</t>
  </si>
  <si>
    <t>425392</t>
  </si>
  <si>
    <t>CULPEPER HEALTH &amp; REHABILITATION CENTER</t>
  </si>
  <si>
    <t>495279</t>
  </si>
  <si>
    <t>ENTERPRISE ESTATES NURSING CENTER</t>
  </si>
  <si>
    <t>175475</t>
  </si>
  <si>
    <t>CHESTNUT REHAB AND NURSING</t>
  </si>
  <si>
    <t>265331</t>
  </si>
  <si>
    <t>LORIS REHAB AND NURSING CENTER, LLC</t>
  </si>
  <si>
    <t>425086</t>
  </si>
  <si>
    <t>DINWIDDIE HEALTH AND REHAB CENTER</t>
  </si>
  <si>
    <t>495398</t>
  </si>
  <si>
    <t>ESKRIDGE OPERATOR  LLC</t>
  </si>
  <si>
    <t>175455</t>
  </si>
  <si>
    <t>CHRISTIAN EXTENDED CARE &amp; REHABILITATION</t>
  </si>
  <si>
    <t>265174</t>
  </si>
  <si>
    <t>MAGNOLIA MANOR - COLUMBIA</t>
  </si>
  <si>
    <t>425287</t>
  </si>
  <si>
    <t>DOCKSIDE HEALTH &amp; REHAB CENTER</t>
  </si>
  <si>
    <t>495422</t>
  </si>
  <si>
    <t>EUREKA NURSING CENTER</t>
  </si>
  <si>
    <t>175287</t>
  </si>
  <si>
    <t>CITIZENS MEMORIAL HEALTHCARE FACILITY</t>
  </si>
  <si>
    <t>265545</t>
  </si>
  <si>
    <t>MAGNOLIA MANOR - GREENVILLE</t>
  </si>
  <si>
    <t>425090</t>
  </si>
  <si>
    <t>DOGWOOD VILLAGE OF ORANGE COUNTY HEALTH AND REHAB</t>
  </si>
  <si>
    <t>495359</t>
  </si>
  <si>
    <t>EVERGREEN COMMUNITY OF JOHNSON COUNTY</t>
  </si>
  <si>
    <t>175355</t>
  </si>
  <si>
    <t>CLARA MANOR NURSING HOME</t>
  </si>
  <si>
    <t>26A293</t>
  </si>
  <si>
    <t>MAGNOLIA MANOR - GREENWOOD</t>
  </si>
  <si>
    <t>425172</t>
  </si>
  <si>
    <t>DULLES HEALTH &amp; REHAB CENTER</t>
  </si>
  <si>
    <t>495174</t>
  </si>
  <si>
    <t>F W HUSTON MEDICAL CENTER</t>
  </si>
  <si>
    <t>17E294</t>
  </si>
  <si>
    <t>CLARENCE CARE CENTER</t>
  </si>
  <si>
    <t>265599</t>
  </si>
  <si>
    <t>MAGNOLIA MANOR - INMAN</t>
  </si>
  <si>
    <t>425032</t>
  </si>
  <si>
    <t>ELIZABETH ADAM CRUMP HEALTH AND REHAB</t>
  </si>
  <si>
    <t>495299</t>
  </si>
  <si>
    <t>FAMILY HEALTH &amp; REHABILITATION CENTER</t>
  </si>
  <si>
    <t>175501</t>
  </si>
  <si>
    <t>CLARK COUNTY NURSING HOME</t>
  </si>
  <si>
    <t>265485</t>
  </si>
  <si>
    <t>MAGNOLIA MANOR - ROCK HILL</t>
  </si>
  <si>
    <t>425165</t>
  </si>
  <si>
    <t>ENVOY AT THE MEADOWS</t>
  </si>
  <si>
    <t>495236</t>
  </si>
  <si>
    <t>FLINT HILLS CARE AND REHABILITATION CENTER</t>
  </si>
  <si>
    <t>175280</t>
  </si>
  <si>
    <t>CLARK'S MOUNTAIN NURSING CENTER</t>
  </si>
  <si>
    <t>265416</t>
  </si>
  <si>
    <t>MAGNOLIA MANOR - SPARTANBURG</t>
  </si>
  <si>
    <t>425091</t>
  </si>
  <si>
    <t>ENVOY AT THE VILLAGE</t>
  </si>
  <si>
    <t>495230</t>
  </si>
  <si>
    <t>FORT SCOTT MANOR</t>
  </si>
  <si>
    <t>175384</t>
  </si>
  <si>
    <t>CLARU DEVILLE NURSING CENTER</t>
  </si>
  <si>
    <t>265514</t>
  </si>
  <si>
    <t>MAGNOLIA PLACE - GREENVILLE</t>
  </si>
  <si>
    <t>425361</t>
  </si>
  <si>
    <t>ENVOY OF ALEXANDRIA, LLC</t>
  </si>
  <si>
    <t>495203</t>
  </si>
  <si>
    <t>FOUNTAINVIEW NURSING &amp; REHAB CENTER</t>
  </si>
  <si>
    <t>175221</t>
  </si>
  <si>
    <t>CLEARVIEW NURSING CENTER</t>
  </si>
  <si>
    <t>265614</t>
  </si>
  <si>
    <t>MAGNOLIA PLACE - SPARTANBURG</t>
  </si>
  <si>
    <t>425175</t>
  </si>
  <si>
    <t>ENVOY OF LAWRENCEVILLE, LLC</t>
  </si>
  <si>
    <t>495192</t>
  </si>
  <si>
    <t>FOWLER RESIDENTIAL CARE</t>
  </si>
  <si>
    <t>175526</t>
  </si>
  <si>
    <t>CLINTON HEALTHCARE AND REHABILITATION CENTER</t>
  </si>
  <si>
    <t>265255</t>
  </si>
  <si>
    <t>MANNA REHABILITATION AND HEALTHCARE CENTER</t>
  </si>
  <si>
    <t>425084</t>
  </si>
  <si>
    <t>ENVOY OF STAUNTON, LLC</t>
  </si>
  <si>
    <t>495243</t>
  </si>
  <si>
    <t>FRANKFORT COMMUNITY CARE HOME</t>
  </si>
  <si>
    <t>175417</t>
  </si>
  <si>
    <t>COLONIAL SPRINGS HEALTHCARE CENTER</t>
  </si>
  <si>
    <t>265245</t>
  </si>
  <si>
    <t>MARTHA FRANKS BAPTIST RETIREMENT CENTER</t>
  </si>
  <si>
    <t>425334</t>
  </si>
  <si>
    <t>ENVOY OF WESTOVER HILLS</t>
  </si>
  <si>
    <t>495327</t>
  </si>
  <si>
    <t>FRANKLIN HEALTHCARE OF PEABODY LLC</t>
  </si>
  <si>
    <t>17E210</t>
  </si>
  <si>
    <t>COLUMBIA MANOR CARE CENTER</t>
  </si>
  <si>
    <t>265778</t>
  </si>
  <si>
    <t>MCCORMICK REHABILITATION AND HEALTHCARE CENTER</t>
  </si>
  <si>
    <t>425171</t>
  </si>
  <si>
    <t>ENVOY OF WILLIAMSBURG, LLC</t>
  </si>
  <si>
    <t>495235</t>
  </si>
  <si>
    <t>GALENA NURSING &amp; REHAB CENTER</t>
  </si>
  <si>
    <t>175233</t>
  </si>
  <si>
    <t>COLUMBIA POST ACUTE</t>
  </si>
  <si>
    <t>265868</t>
  </si>
  <si>
    <t>MCCOY MEMORIAL NURSING CENTER</t>
  </si>
  <si>
    <t>425174</t>
  </si>
  <si>
    <t>ENVOY OF WINCHESTER, LLC</t>
  </si>
  <si>
    <t>495389</t>
  </si>
  <si>
    <t>GARDEN TERRACE AT OVERLAND PARK</t>
  </si>
  <si>
    <t>175158</t>
  </si>
  <si>
    <t>COMMUNITIES OF WILDWOOD RANCH</t>
  </si>
  <si>
    <t>265848</t>
  </si>
  <si>
    <t>MEDFORD NURSING CENTER</t>
  </si>
  <si>
    <t>425176</t>
  </si>
  <si>
    <t>ENVOY OF WOODBRIDGE, LLC</t>
  </si>
  <si>
    <t>495361</t>
  </si>
  <si>
    <t>GARDEN VALLEY RETIREMENT VILLAGE</t>
  </si>
  <si>
    <t>175175</t>
  </si>
  <si>
    <t>COMMUNITY CARE CENTER OF LEMAY INC</t>
  </si>
  <si>
    <t>265775</t>
  </si>
  <si>
    <t>MILLENNIUM POST ACUTE REHABILITATION</t>
  </si>
  <si>
    <t>425105</t>
  </si>
  <si>
    <t>EVERGREEN HEALTH AND REHAB</t>
  </si>
  <si>
    <t>495142</t>
  </si>
  <si>
    <t>GOOD SAMARITAN SOCIETY - ATWOOD</t>
  </si>
  <si>
    <t>175366</t>
  </si>
  <si>
    <t>COMMUNITY MANOR</t>
  </si>
  <si>
    <t>265798</t>
  </si>
  <si>
    <t>MORRELL NURSING CENTER</t>
  </si>
  <si>
    <t>425111</t>
  </si>
  <si>
    <t>FAIRFAX REHABILITATION AND NURSING CENTER</t>
  </si>
  <si>
    <t>495099</t>
  </si>
  <si>
    <t>GOOD SAMARITAN SOCIETY - DECATUR COUNTY</t>
  </si>
  <si>
    <t>175356</t>
  </si>
  <si>
    <t>COMMUNITY SPRINGS HEALTHCARE FACILITY</t>
  </si>
  <si>
    <t>265446</t>
  </si>
  <si>
    <t>MOUNT PLEASANT MANOR</t>
  </si>
  <si>
    <t>425110</t>
  </si>
  <si>
    <t>FAIRMONT CROSSING HEALTH AND REHABILITATION</t>
  </si>
  <si>
    <t>495363</t>
  </si>
  <si>
    <t>GOOD SAMARITAN SOCIETY - ELLIS</t>
  </si>
  <si>
    <t>175328</t>
  </si>
  <si>
    <t>COPPER ROCK HEALTHCARE</t>
  </si>
  <si>
    <t>265878</t>
  </si>
  <si>
    <t>MOUNTAINVIEW NURSING HOME</t>
  </si>
  <si>
    <t>425027</t>
  </si>
  <si>
    <t>FALLS RUN NURSING AND REHAB CENTER</t>
  </si>
  <si>
    <t>495407</t>
  </si>
  <si>
    <t>GOOD SAMARITAN SOCIETY - ELLSWORTH VILLAGE</t>
  </si>
  <si>
    <t>175231</t>
  </si>
  <si>
    <t>CORI MANOR HEALTHCARE &amp; REHABILITATION CENTER</t>
  </si>
  <si>
    <t>265395</t>
  </si>
  <si>
    <t>MUSC HEALTH CHESTER NURSING CENTER</t>
  </si>
  <si>
    <t>425061</t>
  </si>
  <si>
    <t>FARMVILLE HEALTH &amp; REHAB CENTER</t>
  </si>
  <si>
    <t>495249</t>
  </si>
  <si>
    <t>GOOD SAMARITAN SOCIETY - HAYS</t>
  </si>
  <si>
    <t>175322</t>
  </si>
  <si>
    <t>COTTAGES OF LAKE ST LOUIS</t>
  </si>
  <si>
    <t>265860</t>
  </si>
  <si>
    <t>MUSC HEALTH LANCASTER MEDICAL CENTER</t>
  </si>
  <si>
    <t>425353</t>
  </si>
  <si>
    <t>FAUQUIER HEALTH REHABILITATION &amp; NURSING CENTER</t>
  </si>
  <si>
    <t>495233</t>
  </si>
  <si>
    <t>GOOD SAMARITAN SOCIETY - HUTCHINSON VILLAGE</t>
  </si>
  <si>
    <t>175260</t>
  </si>
  <si>
    <t>COTTON POINT LIVING CENTER</t>
  </si>
  <si>
    <t>265859</t>
  </si>
  <si>
    <t>MUSC HEALTH MULLINS NURSNG HOME</t>
  </si>
  <si>
    <t>425312</t>
  </si>
  <si>
    <t>FRANCIS MARION MANOR HEALTH &amp; REHABILITATION</t>
  </si>
  <si>
    <t>495384</t>
  </si>
  <si>
    <t>GOOD SAMARITAN SOCIETY - LIBERAL</t>
  </si>
  <si>
    <t>175334</t>
  </si>
  <si>
    <t>COUNTRY AIRE RETIREMENT CENTER</t>
  </si>
  <si>
    <t>265474</t>
  </si>
  <si>
    <t>MYRTLE BEACH MANOR</t>
  </si>
  <si>
    <t>425070</t>
  </si>
  <si>
    <t>FRANCIS N SANDERS NURSING HOME, INC</t>
  </si>
  <si>
    <t>495383</t>
  </si>
  <si>
    <t>GOOD SAMARITAN SOCIETY - LYONS</t>
  </si>
  <si>
    <t>175336</t>
  </si>
  <si>
    <t>COUNTRY CLUB CARE CENTER OF WARRENSBURG</t>
  </si>
  <si>
    <t>265645</t>
  </si>
  <si>
    <t>NHC HEALTH CARE,  CHARLESTON</t>
  </si>
  <si>
    <t>425381</t>
  </si>
  <si>
    <t>FRANKLIN HEALTH AND REHABILITATION CENTER</t>
  </si>
  <si>
    <t>495207</t>
  </si>
  <si>
    <t>GOOD SAMARITAN SOCIETY - OLATHE</t>
  </si>
  <si>
    <t>175263</t>
  </si>
  <si>
    <t>COUNTRY MEADOWS</t>
  </si>
  <si>
    <t>265734</t>
  </si>
  <si>
    <t>NHC HEALTHCARE -  ANDERSON</t>
  </si>
  <si>
    <t>425052</t>
  </si>
  <si>
    <t>FREDERICKSBURG HEALTH AND REHAB</t>
  </si>
  <si>
    <t>495240</t>
  </si>
  <si>
    <t>GOOD SAMARITAN SOCIETY - PARSONS</t>
  </si>
  <si>
    <t>175210</t>
  </si>
  <si>
    <t>COUNTRY VIEW NURSING FACILITY, INC</t>
  </si>
  <si>
    <t>265419</t>
  </si>
  <si>
    <t>NHC HEALTHCARE - BLUFFTON</t>
  </si>
  <si>
    <t>425397</t>
  </si>
  <si>
    <t>FRIENDSHIP HEALTH AND REHAB CENTER</t>
  </si>
  <si>
    <t>495092</t>
  </si>
  <si>
    <t>GOOD SAMARITAN SOCIETY - VALLEY VISTA</t>
  </si>
  <si>
    <t>175359</t>
  </si>
  <si>
    <t>COX MEDICAL CENTERS MEYER ORTHOPEDIC AND REHAB</t>
  </si>
  <si>
    <t>265289</t>
  </si>
  <si>
    <t>NHC HEALTHCARE - CLINTON</t>
  </si>
  <si>
    <t>425071</t>
  </si>
  <si>
    <t>FRIENDSHIP HEALTH AND REHAB CENTER - SOUTH</t>
  </si>
  <si>
    <t>495421</t>
  </si>
  <si>
    <t>GOVE COUNTY MEDICAL CENTER LTCU</t>
  </si>
  <si>
    <t>17E183</t>
  </si>
  <si>
    <t>CREST VIEW REHABILITATION AND HEALTHCARE CENTER</t>
  </si>
  <si>
    <t>265457</t>
  </si>
  <si>
    <t>NHC HEALTHCARE - GARDEN CITY</t>
  </si>
  <si>
    <t>425324</t>
  </si>
  <si>
    <t>GAINESVILLE HEALTH AND REHAB CENTER</t>
  </si>
  <si>
    <t>495388</t>
  </si>
  <si>
    <t>GREAT BEND HEALTH &amp; REHAB CENTER</t>
  </si>
  <si>
    <t>175291</t>
  </si>
  <si>
    <t>CRESTVIEW HOME</t>
  </si>
  <si>
    <t>265807</t>
  </si>
  <si>
    <t>NHC HEALTHCARE - GREENVILLE</t>
  </si>
  <si>
    <t>425322</t>
  </si>
  <si>
    <t>GALAX HEALTH AND REHAB</t>
  </si>
  <si>
    <t>495250</t>
  </si>
  <si>
    <t>GREELEY COUNTY HOSPITAL LTCU</t>
  </si>
  <si>
    <t>17E071</t>
  </si>
  <si>
    <t>CRESTWOOD HEALTH CARE CENTER, LLC</t>
  </si>
  <si>
    <t>265823</t>
  </si>
  <si>
    <t>NHC HEALTHCARE - GREENWOOD</t>
  </si>
  <si>
    <t>425063</t>
  </si>
  <si>
    <t>GLENBURNIE REHAB &amp; NURSING CENTER</t>
  </si>
  <si>
    <t>495391</t>
  </si>
  <si>
    <t>GRISELL MEMORIAL HOSPITAL LTCU</t>
  </si>
  <si>
    <t>17E015</t>
  </si>
  <si>
    <t>CREVE COEUR MANOR</t>
  </si>
  <si>
    <t>265720</t>
  </si>
  <si>
    <t>NHC HEALTHCARE - LAURENS</t>
  </si>
  <si>
    <t>425054</t>
  </si>
  <si>
    <t>GOODWIN HOUSE ALEXANDRIA</t>
  </si>
  <si>
    <t>495057</t>
  </si>
  <si>
    <t>HALSTEAD HEALTH AND REHABILITATION CENTER</t>
  </si>
  <si>
    <t>175446</t>
  </si>
  <si>
    <t>CROWLEY RIDGE CARE CENTER</t>
  </si>
  <si>
    <t>265552</t>
  </si>
  <si>
    <t>NHC HEALTHCARE - LEXINGTON</t>
  </si>
  <si>
    <t>425333</t>
  </si>
  <si>
    <t>GOODWIN HOUSE BAILEY'S CROSSROADS</t>
  </si>
  <si>
    <t>495171</t>
  </si>
  <si>
    <t>HAVILAND OPERATOR, LLC</t>
  </si>
  <si>
    <t>17E038</t>
  </si>
  <si>
    <t>CROWN CARE CENTER</t>
  </si>
  <si>
    <t>265647</t>
  </si>
  <si>
    <t>NHC HEALTHCARE - MAULDIN</t>
  </si>
  <si>
    <t>425359</t>
  </si>
  <si>
    <t>GRACE HEALTH AND REHAB CENTER OF GREENE COUNTY</t>
  </si>
  <si>
    <t>495343</t>
  </si>
  <si>
    <t>HERITAGE HEALTH CARE CENTER</t>
  </si>
  <si>
    <t>175249</t>
  </si>
  <si>
    <t>CRYSTAL CREEK HEALTH AND REHABILITATION CENTER</t>
  </si>
  <si>
    <t>265607</t>
  </si>
  <si>
    <t>NHC HEALTHCARE - NORTH AUGUSTA</t>
  </si>
  <si>
    <t>425320</t>
  </si>
  <si>
    <t>GRACE HEALTHCARE OF ABINGDON</t>
  </si>
  <si>
    <t>495338</t>
  </si>
  <si>
    <t>HICKORY POINTE CARE &amp; REHAB CENTER</t>
  </si>
  <si>
    <t>175333</t>
  </si>
  <si>
    <t>CRYSTAL OAKS</t>
  </si>
  <si>
    <t>265369</t>
  </si>
  <si>
    <t>NHC HEALTHCARE - PARKLANE</t>
  </si>
  <si>
    <t>425352</t>
  </si>
  <si>
    <t>GRAYSON REHABILITATION  AND HEALTH CARE CENTER</t>
  </si>
  <si>
    <t>495331</t>
  </si>
  <si>
    <t>HIGHLAND HEALTHCARE &amp; REHABILITATION CENTER</t>
  </si>
  <si>
    <t>175412</t>
  </si>
  <si>
    <t>CUBA MANOR INC</t>
  </si>
  <si>
    <t>265652</t>
  </si>
  <si>
    <t>NHC HEALTHCARE - SUMTER</t>
  </si>
  <si>
    <t>425109</t>
  </si>
  <si>
    <t>GREENBRIER REGIONAL MEDICAL CENTER</t>
  </si>
  <si>
    <t>495330</t>
  </si>
  <si>
    <t>HILL TOP HOUSE</t>
  </si>
  <si>
    <t>175500</t>
  </si>
  <si>
    <t>CURRENT RIVER NURSING CENTER, INC</t>
  </si>
  <si>
    <t>265504</t>
  </si>
  <si>
    <t>OAKBROOK HEALTH AND REHABILITATION CENTER</t>
  </si>
  <si>
    <t>425156</t>
  </si>
  <si>
    <t>GREENSPRING VILLAGE</t>
  </si>
  <si>
    <t>495354</t>
  </si>
  <si>
    <t>HILLSIDE VILLAGE OF DE SOTO</t>
  </si>
  <si>
    <t>175472</t>
  </si>
  <si>
    <t>CYPRESS POINT-SKILLED NURSING BY AMERICARE</t>
  </si>
  <si>
    <t>265367</t>
  </si>
  <si>
    <t>OAKHAVEN NURSING CENTER</t>
  </si>
  <si>
    <t>425064</t>
  </si>
  <si>
    <t>GREENSVILLE HEALTH AND REHABILITATION CENTER</t>
  </si>
  <si>
    <t>495199</t>
  </si>
  <si>
    <t>HILLTOP LODGE HEALTH AND REHABILITATION</t>
  </si>
  <si>
    <t>175348</t>
  </si>
  <si>
    <t>DADE COUNTY NURSING HOME DISTRICT</t>
  </si>
  <si>
    <t>265572</t>
  </si>
  <si>
    <t>OPUS POST ACUTE REHABILITATION</t>
  </si>
  <si>
    <t>425379</t>
  </si>
  <si>
    <t>GRETNA HEALTH AND REHABILITATION CENTER</t>
  </si>
  <si>
    <t>495202</t>
  </si>
  <si>
    <t>HILLTOP MANOR NURSING CENTER</t>
  </si>
  <si>
    <t>175545</t>
  </si>
  <si>
    <t>DAVIESS COUNTY NURSING AND REHABILITATION</t>
  </si>
  <si>
    <t>265729</t>
  </si>
  <si>
    <t>PATEWOOD REHABILITATION &amp; HEALTHCARE CENTER</t>
  </si>
  <si>
    <t>425305</t>
  </si>
  <si>
    <t>HANOVER HEALTH AND REHABILITATION CENTER</t>
  </si>
  <si>
    <t>495266</t>
  </si>
  <si>
    <t>HOEGER HOUSE</t>
  </si>
  <si>
    <t>175491</t>
  </si>
  <si>
    <t>DELHAVEN MANOR</t>
  </si>
  <si>
    <t>265392</t>
  </si>
  <si>
    <t>PEACHTREE CENTRE</t>
  </si>
  <si>
    <t>425095</t>
  </si>
  <si>
    <t>HARBOR'S EDGE</t>
  </si>
  <si>
    <t>495395</t>
  </si>
  <si>
    <t>HOLIDAY RESORT</t>
  </si>
  <si>
    <t>175173</t>
  </si>
  <si>
    <t>DELMAR GARDENS NORTH</t>
  </si>
  <si>
    <t>265325</t>
  </si>
  <si>
    <t>POINSETT REHABILITATION AND HEALTHCARE CENTER</t>
  </si>
  <si>
    <t>425102</t>
  </si>
  <si>
    <t>HARRISONBURG HLTH &amp; REHAB CNTR</t>
  </si>
  <si>
    <t>495093</t>
  </si>
  <si>
    <t>HOLIDAY RESORT OF SALINA</t>
  </si>
  <si>
    <t>175423</t>
  </si>
  <si>
    <t>DELMAR GARDENS OF CHESTERFIELD</t>
  </si>
  <si>
    <t>265170</t>
  </si>
  <si>
    <t>PRESBYTERIAN COMMUNITIES OF SOUTH CAROLINA- CLINTO</t>
  </si>
  <si>
    <t>425393</t>
  </si>
  <si>
    <t>HEALTH CARE CENTER LUCY CORR</t>
  </si>
  <si>
    <t>495079</t>
  </si>
  <si>
    <t>HOMESTEAD HEALTH CENTER</t>
  </si>
  <si>
    <t>175487</t>
  </si>
  <si>
    <t>DELMAR GARDENS OF CREVE COEUR</t>
  </si>
  <si>
    <t>265343</t>
  </si>
  <si>
    <t>PRESBYTERIAN COMMUNITIES OF SOUTH CAROLINA-FLORENC</t>
  </si>
  <si>
    <t>425406</t>
  </si>
  <si>
    <t>HEARTLAND HEALTH CARE CENTER - LYNCHBURG</t>
  </si>
  <si>
    <t>495077</t>
  </si>
  <si>
    <t>HUTCHINSON OPERATOR, LLC</t>
  </si>
  <si>
    <t>175236</t>
  </si>
  <si>
    <t>DELMAR GARDENS OF MERAMEC VALLEY</t>
  </si>
  <si>
    <t>265711</t>
  </si>
  <si>
    <t>PRESBYTERIAN COMMUNITIES OF SOUTH CAROLINA-SUMMERV</t>
  </si>
  <si>
    <t>425389</t>
  </si>
  <si>
    <t>HENRICO HEALTH &amp; REHABILITATION CENTER</t>
  </si>
  <si>
    <t>495193</t>
  </si>
  <si>
    <t>IGNITE MEDICAL RESORT A PTR OF THE UNIV OF KANSAS</t>
  </si>
  <si>
    <t>175544</t>
  </si>
  <si>
    <t>DELMAR GARDENS OF O'FALLON</t>
  </si>
  <si>
    <t>265792</t>
  </si>
  <si>
    <t>PRESBYTERIAN HOME OF SC - FOOTHILLS</t>
  </si>
  <si>
    <t>425403</t>
  </si>
  <si>
    <t>HERITAGE HALL - BROOKNEAL</t>
  </si>
  <si>
    <t>495242</t>
  </si>
  <si>
    <t>INDIAN CREEK HEALTHCARE CENTER</t>
  </si>
  <si>
    <t>175176</t>
  </si>
  <si>
    <t>DELMAR GARDENS ON THE GREEN</t>
  </si>
  <si>
    <t>265156</t>
  </si>
  <si>
    <t>PRESBYTERIAN HOME OF SOUTH CAROLINA-COLUMBIA</t>
  </si>
  <si>
    <t>425396</t>
  </si>
  <si>
    <t>HERITAGE HALL  FRONT ROYAL</t>
  </si>
  <si>
    <t>495301</t>
  </si>
  <si>
    <t>KANSAS CHRISTIAN HOME</t>
  </si>
  <si>
    <t>175467</t>
  </si>
  <si>
    <t>DELMAR GARDENS SOUTH</t>
  </si>
  <si>
    <t>265310</t>
  </si>
  <si>
    <t>PRINCE GEORGE HEALTHCARE CENTER</t>
  </si>
  <si>
    <t>425295</t>
  </si>
  <si>
    <t>HERITAGE HALL - LAUREL MEADOWS</t>
  </si>
  <si>
    <t>495323</t>
  </si>
  <si>
    <t>KANSAS MASONIC HOME</t>
  </si>
  <si>
    <t>175118</t>
  </si>
  <si>
    <t>DELMAR GARDENS WEST</t>
  </si>
  <si>
    <t>265105</t>
  </si>
  <si>
    <t>PRISMA HEALTH GREENVILLE MEM SUB-ACUTE</t>
  </si>
  <si>
    <t>425383</t>
  </si>
  <si>
    <t>HERITAGE HALL BIG STONE GAP</t>
  </si>
  <si>
    <t>495135</t>
  </si>
  <si>
    <t>KANSAS SOLDIERS HOME</t>
  </si>
  <si>
    <t>175513</t>
  </si>
  <si>
    <t>DELTA SOUTH NURSING &amp; REHABILITATION</t>
  </si>
  <si>
    <t>265862</t>
  </si>
  <si>
    <t>PRISMA HEALTH-LILA DOYLE</t>
  </si>
  <si>
    <t>425075</t>
  </si>
  <si>
    <t>HERITAGE HALL BLACKSBURG</t>
  </si>
  <si>
    <t>495356</t>
  </si>
  <si>
    <t>KANSAS VETERANS HOME</t>
  </si>
  <si>
    <t>175516</t>
  </si>
  <si>
    <t>DEXTER LIVING CENTER</t>
  </si>
  <si>
    <t>265382</t>
  </si>
  <si>
    <t>PRUITTHEALTH- BAMBERG</t>
  </si>
  <si>
    <t>425104</t>
  </si>
  <si>
    <t>HERITAGE HALL BLACKSTONE</t>
  </si>
  <si>
    <t>495353</t>
  </si>
  <si>
    <t>KAW RIVER OPERATOR, LLC</t>
  </si>
  <si>
    <t>175219</t>
  </si>
  <si>
    <t>DIVERSICARE OF ST JOSEPH</t>
  </si>
  <si>
    <t>265754</t>
  </si>
  <si>
    <t>PRUITTHEALTH- COLUMBIA</t>
  </si>
  <si>
    <t>425013</t>
  </si>
  <si>
    <t>HERITAGE HALL CLINTWOOD</t>
  </si>
  <si>
    <t>495320</t>
  </si>
  <si>
    <t>KEARNY COUNTY HOSPITAL LTCU</t>
  </si>
  <si>
    <t>17E531</t>
  </si>
  <si>
    <t>DIXON NURSING &amp; REHAB</t>
  </si>
  <si>
    <t>265418</t>
  </si>
  <si>
    <t>PRUITTHEALTH- DILLON</t>
  </si>
  <si>
    <t>425113</t>
  </si>
  <si>
    <t>HERITAGE HALL DILLWYN</t>
  </si>
  <si>
    <t>495317</t>
  </si>
  <si>
    <t>KENWOOD VIEW HEALTH AND REHABILITATION CENTER</t>
  </si>
  <si>
    <t>175200</t>
  </si>
  <si>
    <t>DUTCHTOWN CARE CENTER</t>
  </si>
  <si>
    <t>265672</t>
  </si>
  <si>
    <t>PRUITTHEALTH- ESTILL</t>
  </si>
  <si>
    <t>425315</t>
  </si>
  <si>
    <t>HERITAGE HALL GRUNDY</t>
  </si>
  <si>
    <t>495259</t>
  </si>
  <si>
    <t>KIOWA HOSPITAL DISTRICT MANOR</t>
  </si>
  <si>
    <t>17E597</t>
  </si>
  <si>
    <t>E W THOMPSON HEALTH &amp; REHABILITATION CENTER</t>
  </si>
  <si>
    <t>265858</t>
  </si>
  <si>
    <t>PRUITTHEALTH- NORTH AUGUSTA</t>
  </si>
  <si>
    <t>425296</t>
  </si>
  <si>
    <t>HERITAGE HALL KING GEORGE</t>
  </si>
  <si>
    <t>495300</t>
  </si>
  <si>
    <t>KPC PROMISE SKILLED NURSING FACILITY OF OVERLAND</t>
  </si>
  <si>
    <t>175240</t>
  </si>
  <si>
    <t>EAST PRAIRIE NURSING CENTER</t>
  </si>
  <si>
    <t>265551</t>
  </si>
  <si>
    <t>PRUITTHEALTH- RIDGEWAY</t>
  </si>
  <si>
    <t>425288</t>
  </si>
  <si>
    <t>HERITAGE HALL LEESBURG</t>
  </si>
  <si>
    <t>495261</t>
  </si>
  <si>
    <t>LAKEPOINT AUGUSTA, LLC</t>
  </si>
  <si>
    <t>175424</t>
  </si>
  <si>
    <t>EASTVIEW MANOR CARE CENTER</t>
  </si>
  <si>
    <t>265730</t>
  </si>
  <si>
    <t>PRUITTHEALTH- ROCK HILL</t>
  </si>
  <si>
    <t>425127</t>
  </si>
  <si>
    <t>HERITAGE HALL LEXINGTON</t>
  </si>
  <si>
    <t>495321</t>
  </si>
  <si>
    <t>LAKEPOINT EL DORADO, LLC</t>
  </si>
  <si>
    <t>175124</t>
  </si>
  <si>
    <t>EDGEWOOD MANOR CENTER FOR REHAB AND HEALTHCARE</t>
  </si>
  <si>
    <t>265425</t>
  </si>
  <si>
    <t>PRUITTHEALTH-AIKEN</t>
  </si>
  <si>
    <t>425145</t>
  </si>
  <si>
    <t>HERITAGE HALL NASSAWADOX</t>
  </si>
  <si>
    <t>495277</t>
  </si>
  <si>
    <t>LAKEPOINT WICHITA, LLC</t>
  </si>
  <si>
    <t>175466</t>
  </si>
  <si>
    <t>ELDON NURSING &amp; REHAB</t>
  </si>
  <si>
    <t>265555</t>
  </si>
  <si>
    <t>PRUITTHEALTH-BARNWELL</t>
  </si>
  <si>
    <t>425097</t>
  </si>
  <si>
    <t>HERITAGE HALL TAZEWELL</t>
  </si>
  <si>
    <t>495152</t>
  </si>
  <si>
    <t>LAKEVIEW VILLAGE</t>
  </si>
  <si>
    <t>175242</t>
  </si>
  <si>
    <t>ELSBERRY MISSOURI HEALTH CARE CENTER</t>
  </si>
  <si>
    <t>265825</t>
  </si>
  <si>
    <t>PRUITTHEALTH-BLYTHEWOOD</t>
  </si>
  <si>
    <t>425400</t>
  </si>
  <si>
    <t>HERITAGE HALL VIRGINIA BEACH</t>
  </si>
  <si>
    <t>495234</t>
  </si>
  <si>
    <t>LANSING OPERATOR LLC</t>
  </si>
  <si>
    <t>175228</t>
  </si>
  <si>
    <t>ESTATES OF HIDDEN LAKE, LLC  THE</t>
  </si>
  <si>
    <t>265735</t>
  </si>
  <si>
    <t>PRUITTHEALTH-CONWAY AT CONWAY MEDICAL CENTER</t>
  </si>
  <si>
    <t>425173</t>
  </si>
  <si>
    <t>HERITAGE HALL WISE</t>
  </si>
  <si>
    <t>495350</t>
  </si>
  <si>
    <t>LARKSFIELD PLACE</t>
  </si>
  <si>
    <t>175181</t>
  </si>
  <si>
    <t>ESTATES OF PERRYVILLE, LLC, THE</t>
  </si>
  <si>
    <t>265704</t>
  </si>
  <si>
    <t>PRUITTHEALTH-MONCKS CORNER</t>
  </si>
  <si>
    <t>425140</t>
  </si>
  <si>
    <t>HERITAGE HALL-RICH CREEK</t>
  </si>
  <si>
    <t>495371</t>
  </si>
  <si>
    <t>LAWRENCE MEMORIAL HOSPITAL SNF</t>
  </si>
  <si>
    <t>175151</t>
  </si>
  <si>
    <t>ESTATES OF SPANISH LAKE, THE</t>
  </si>
  <si>
    <t>265776</t>
  </si>
  <si>
    <t>PRUITTHEALTH-ORANGEBURG</t>
  </si>
  <si>
    <t>425085</t>
  </si>
  <si>
    <t>HIGHLAND RIDGE REHAB CENTER</t>
  </si>
  <si>
    <t>495333</t>
  </si>
  <si>
    <t>LAWRENCE PRESBYTERIAN MANOR</t>
  </si>
  <si>
    <t>175305</t>
  </si>
  <si>
    <t>ESTATES OF ST LOUIS, LLC, THE</t>
  </si>
  <si>
    <t>265712</t>
  </si>
  <si>
    <t>PRUITTHEALTH-WALTERBORO</t>
  </si>
  <si>
    <t>425053</t>
  </si>
  <si>
    <t>HILLSVILLE HEALTH &amp; REHAB CENTER</t>
  </si>
  <si>
    <t>495187</t>
  </si>
  <si>
    <t>LEGACY AT COLLEGE HILL</t>
  </si>
  <si>
    <t>175078</t>
  </si>
  <si>
    <t>EXCELSIOR SPRINGS NURSING &amp; REHAB</t>
  </si>
  <si>
    <t>265821</t>
  </si>
  <si>
    <t>RETREAT AT WELLMORE OF DANIEL ISLAND</t>
  </si>
  <si>
    <t>425414</t>
  </si>
  <si>
    <t>HIRAM W DAVIS MEDICAL CTR</t>
  </si>
  <si>
    <t>495113</t>
  </si>
  <si>
    <t>LEGACY AT HERINGTON</t>
  </si>
  <si>
    <t>175490</t>
  </si>
  <si>
    <t>FAIR VIEW NURSING HOME</t>
  </si>
  <si>
    <t>265856</t>
  </si>
  <si>
    <t>RICE NURSING HOME</t>
  </si>
  <si>
    <t>425387</t>
  </si>
  <si>
    <t>HOLLY MANOR NURSING HOME</t>
  </si>
  <si>
    <t>495339</t>
  </si>
  <si>
    <t>LEGACY AT SALINA</t>
  </si>
  <si>
    <t>175127</t>
  </si>
  <si>
    <t>FARMINGTON PRESBYTERIAN MANOR</t>
  </si>
  <si>
    <t>265583</t>
  </si>
  <si>
    <t>RICHARD M CAMPBELL VETERANS NURSING HOME</t>
  </si>
  <si>
    <t>425301</t>
  </si>
  <si>
    <t>ILIFF NURSING AND REHABILITATION CENTER</t>
  </si>
  <si>
    <t>495205</t>
  </si>
  <si>
    <t>LEGACY ON 10TH AVENUE</t>
  </si>
  <si>
    <t>175113</t>
  </si>
  <si>
    <t>FAYETTE CARING CENTER</t>
  </si>
  <si>
    <t>265517</t>
  </si>
  <si>
    <t>RIDGELAND NURSING CENTER INC</t>
  </si>
  <si>
    <t>425132</t>
  </si>
  <si>
    <t>JAMES RIVER CONVALESCENT CENTE</t>
  </si>
  <si>
    <t>495286</t>
  </si>
  <si>
    <t>LEGEND HEALTHCARE</t>
  </si>
  <si>
    <t>175215</t>
  </si>
  <si>
    <t>FESTUS MANOR</t>
  </si>
  <si>
    <t>265401</t>
  </si>
  <si>
    <t>RIDGEWAY MANOR HEALTHCARE CENTER</t>
  </si>
  <si>
    <t>425158</t>
  </si>
  <si>
    <t>JOHNSON CNTR - FALCONS LANDING</t>
  </si>
  <si>
    <t>495312</t>
  </si>
  <si>
    <t>LEISURE HOMESTEAD AT ST JOHN</t>
  </si>
  <si>
    <t>175529</t>
  </si>
  <si>
    <t>FIESER NURSING CENTER</t>
  </si>
  <si>
    <t>26A490</t>
  </si>
  <si>
    <t>RIVER FALLS REHABILITATION AND HEALTHCARE CENTER</t>
  </si>
  <si>
    <t>425307</t>
  </si>
  <si>
    <t>KEMPSVILLE HEALTH &amp; REHAB CENTER</t>
  </si>
  <si>
    <t>495232</t>
  </si>
  <si>
    <t>LEISURE HOMESTEAD AT STAFFORD</t>
  </si>
  <si>
    <t>175530</t>
  </si>
  <si>
    <t>FLORISSANT VALLEY HEALTH &amp; REHABILITATION CENTER</t>
  </si>
  <si>
    <t>265112</t>
  </si>
  <si>
    <t>RIVERSIDE HEALTH AND REHAB</t>
  </si>
  <si>
    <t>425082</t>
  </si>
  <si>
    <t>KENDAL  AT LEXINGTON</t>
  </si>
  <si>
    <t>495034</t>
  </si>
  <si>
    <t>LEONARDVILLE NURSING HOME</t>
  </si>
  <si>
    <t>175477</t>
  </si>
  <si>
    <t>FORSYTH CARE CENTER</t>
  </si>
  <si>
    <t>265605</t>
  </si>
  <si>
    <t>ROCK HILL POST ACUTE CARE CENTER</t>
  </si>
  <si>
    <t>425159</t>
  </si>
  <si>
    <t>KINGS DAUGHTERS COMMUNITY HEALTH &amp; REHAB</t>
  </si>
  <si>
    <t>495344</t>
  </si>
  <si>
    <t>LEXINGTON PARK NURSING &amp; POST ACUTE CENTER</t>
  </si>
  <si>
    <t>175154</t>
  </si>
  <si>
    <t>FOUNTAINBLEAU LODGE</t>
  </si>
  <si>
    <t>265383</t>
  </si>
  <si>
    <t>ROLLING GREEN VILLAGE</t>
  </si>
  <si>
    <t>425160</t>
  </si>
  <si>
    <t>KING'S GRANT RETIREMENT COMMUN</t>
  </si>
  <si>
    <t>495408</t>
  </si>
  <si>
    <t>LIFE CARE CENTER OF ANDOVER</t>
  </si>
  <si>
    <t>175157</t>
  </si>
  <si>
    <t>FOUNTAINBLEAU NURSING CENTER</t>
  </si>
  <si>
    <t>265654</t>
  </si>
  <si>
    <t>ROSECREST REHABILITATION AND HEALTHCARE CENTER</t>
  </si>
  <si>
    <t>425376</t>
  </si>
  <si>
    <t>LAKE MANASSAS HEALTH &amp; REHABILITATION CENTER</t>
  </si>
  <si>
    <t>495424</t>
  </si>
  <si>
    <t>LIFE CARE CENTER OF BURLINGTON</t>
  </si>
  <si>
    <t>175373</t>
  </si>
  <si>
    <t>FOUR SEASONS LIVING CENTER</t>
  </si>
  <si>
    <t>265149</t>
  </si>
  <si>
    <t>SAINT MATTHEWS HEALTH CARE, LLC</t>
  </si>
  <si>
    <t>425170</t>
  </si>
  <si>
    <t>LAKE PRINCE WOODS, INC</t>
  </si>
  <si>
    <t>495366</t>
  </si>
  <si>
    <t>LIFE CARE CENTER OF KANSAS CITY</t>
  </si>
  <si>
    <t>175281</t>
  </si>
  <si>
    <t>FOXWOOD SPRINGS LIVING CENTER</t>
  </si>
  <si>
    <t>265803</t>
  </si>
  <si>
    <t>SALUDA NURSING CENTER</t>
  </si>
  <si>
    <t>425081</t>
  </si>
  <si>
    <t>LAKE TAYLOR HOSP</t>
  </si>
  <si>
    <t>495117</t>
  </si>
  <si>
    <t>LIFE CARE CENTER OF OSAWATOMIE</t>
  </si>
  <si>
    <t>175077</t>
  </si>
  <si>
    <t>FRENE VALLEY OF HERMANN-A STONEBRIDGE COMMUNITY</t>
  </si>
  <si>
    <t>265651</t>
  </si>
  <si>
    <t>SANDPIPER REHAB &amp; NURSING</t>
  </si>
  <si>
    <t>425146</t>
  </si>
  <si>
    <t>LAKEWOOD MANOR</t>
  </si>
  <si>
    <t>495403</t>
  </si>
  <si>
    <t>LIFE CARE CENTER OF SENECA</t>
  </si>
  <si>
    <t>175439</t>
  </si>
  <si>
    <t>FRENE VALLEY OF OWENSVILLE-A STONEBRIDGE COMMUNITY</t>
  </si>
  <si>
    <t>265670</t>
  </si>
  <si>
    <t>SAVANNAH GRACE AT THE PALMS OF MT PLEASANT</t>
  </si>
  <si>
    <t>425404</t>
  </si>
  <si>
    <t>LANCASHIRE CONVALESCENT AND REHABILITATION CENTER</t>
  </si>
  <si>
    <t>495345</t>
  </si>
  <si>
    <t>LIFE CARE CENTER OF WICHITA</t>
  </si>
  <si>
    <t>175407</t>
  </si>
  <si>
    <t>FRIENDSHIP VILLAGE CHESTERFIELD</t>
  </si>
  <si>
    <t>265121</t>
  </si>
  <si>
    <t>SENECA HEALTH &amp; REHABILITATION CENTER</t>
  </si>
  <si>
    <t>425139</t>
  </si>
  <si>
    <t>LEE HEALTH AND REHAB CENTER</t>
  </si>
  <si>
    <t>495352</t>
  </si>
  <si>
    <t>LINCOLN PARK MANOR INC</t>
  </si>
  <si>
    <t>175419</t>
  </si>
  <si>
    <t>FRIENDSHIP VILLAGE SUNSET HILLS</t>
  </si>
  <si>
    <t>265136</t>
  </si>
  <si>
    <t>SENIOR CARE OF MARION</t>
  </si>
  <si>
    <t>425416</t>
  </si>
  <si>
    <t>LEEWOOD HEALTHCARE CENTER</t>
  </si>
  <si>
    <t>495337</t>
  </si>
  <si>
    <t>LINN COMMUNITY NURSING HOME</t>
  </si>
  <si>
    <t>175494</t>
  </si>
  <si>
    <t>FRONTIER HEALTH &amp; REHABILITATION</t>
  </si>
  <si>
    <t>265118</t>
  </si>
  <si>
    <t>SHEM CREEK NURSING AND REHAB</t>
  </si>
  <si>
    <t>425417</t>
  </si>
  <si>
    <t>LIBERTY RIDGE HEALTH &amp; REHAB</t>
  </si>
  <si>
    <t>495411</t>
  </si>
  <si>
    <t>LOCUST GROVE VILLAGE</t>
  </si>
  <si>
    <t>175369</t>
  </si>
  <si>
    <t>FULTON MANOR CARE CENTER</t>
  </si>
  <si>
    <t>265760</t>
  </si>
  <si>
    <t>SIMPSONVILLE REHABILITATION AND HEALTHCARE CENTER,</t>
  </si>
  <si>
    <t>425112</t>
  </si>
  <si>
    <t>LIFE CARE CENTER OF NEW MARKET</t>
  </si>
  <si>
    <t>495139</t>
  </si>
  <si>
    <t>LOGAN COUNTY MANOR - LTCU</t>
  </si>
  <si>
    <t>17E613</t>
  </si>
  <si>
    <t>FULTON NURSING &amp; REHAB</t>
  </si>
  <si>
    <t>265663</t>
  </si>
  <si>
    <t>SKYLYN NURSING AND REHABILITATION CENTER</t>
  </si>
  <si>
    <t>425410</t>
  </si>
  <si>
    <t>LITTLE SISTERS OF THE POOR IN RICHMOND</t>
  </si>
  <si>
    <t>49E151</t>
  </si>
  <si>
    <t>LOGAN MANOR COMMUNITY HEALTH SERVICES</t>
  </si>
  <si>
    <t>175480</t>
  </si>
  <si>
    <t>FULTON PRESBYTERIAN MANOR</t>
  </si>
  <si>
    <t>265581</t>
  </si>
  <si>
    <t>SOUTHERN OAKS REHABILITATION AND HEALTHCARE CENTER</t>
  </si>
  <si>
    <t>425314</t>
  </si>
  <si>
    <t>LOUDOUN NURSING AND REHAB CNTR</t>
  </si>
  <si>
    <t>495275</t>
  </si>
  <si>
    <t>LOUISBURG HEALTHCARE &amp; REHAB CENTER</t>
  </si>
  <si>
    <t>175238</t>
  </si>
  <si>
    <t>GAINESVILLE HEALTH CARE CENTER</t>
  </si>
  <si>
    <t>265312</t>
  </si>
  <si>
    <t>SOUTHLAND HEALTH CARE CENTER</t>
  </si>
  <si>
    <t>425157</t>
  </si>
  <si>
    <t>LOUISA HEALTH &amp; REHABILITATION CENTER</t>
  </si>
  <si>
    <t>495282</t>
  </si>
  <si>
    <t>MANOR OF THE PLAINS</t>
  </si>
  <si>
    <t>175306</t>
  </si>
  <si>
    <t>GAMMA ROAD LODGE</t>
  </si>
  <si>
    <t>265398</t>
  </si>
  <si>
    <t>SPARTANBURG HOSPITAL FOR RESTORATIVE CARE SNF</t>
  </si>
  <si>
    <t>425384</t>
  </si>
  <si>
    <t>LYNCHBURG HLTH &amp; REHAB CNTR</t>
  </si>
  <si>
    <t>495105</t>
  </si>
  <si>
    <t>MAPLE HEIGHTS NURSING &amp; REHABILITATION CENTER</t>
  </si>
  <si>
    <t>175508</t>
  </si>
  <si>
    <t>GARDEN VALLEY HEALTHCARE CENTER</t>
  </si>
  <si>
    <t>265697</t>
  </si>
  <si>
    <t>SPRENGER HEALTH CARE OF PORT ROYAL</t>
  </si>
  <si>
    <t>425413</t>
  </si>
  <si>
    <t>MANASSAS HEALTH AND REHAB CENTER</t>
  </si>
  <si>
    <t>495038</t>
  </si>
  <si>
    <t>MAPLE HILLS HEALTHCARE, INC, DBA SHAWNEE POST ACUT</t>
  </si>
  <si>
    <t>175550</t>
  </si>
  <si>
    <t>GARDEN VIEW CARE CENTER</t>
  </si>
  <si>
    <t>265321</t>
  </si>
  <si>
    <t>SPRENGER HEALTHCARE OF BLUFFTON</t>
  </si>
  <si>
    <t>425415</t>
  </si>
  <si>
    <t>MANORCARE HEALTH SERVICES-ALEXANDRIA</t>
  </si>
  <si>
    <t>495011</t>
  </si>
  <si>
    <t>MCCRITE PLAZA HEALTH CENTER</t>
  </si>
  <si>
    <t>175171</t>
  </si>
  <si>
    <t>GARDEN VIEW CARE CENTER AT DOUGHERTY FERRY</t>
  </si>
  <si>
    <t>265808</t>
  </si>
  <si>
    <t>SPRINGDALE HEALTHCARE CENTER</t>
  </si>
  <si>
    <t>425169</t>
  </si>
  <si>
    <t>MANORCARE HEALTH SERVICES-ARLINGTON</t>
  </si>
  <si>
    <t>495102</t>
  </si>
  <si>
    <t>MCPHERSON OPERATOR, LLC</t>
  </si>
  <si>
    <t>175437</t>
  </si>
  <si>
    <t>GARDEN VIEW CARE CENTER OF CHESTERFIELD</t>
  </si>
  <si>
    <t>265627</t>
  </si>
  <si>
    <t>ST GEORGE HEALTHCARE CENTER</t>
  </si>
  <si>
    <t>425143</t>
  </si>
  <si>
    <t>MANORCARE HEALTH SERVICES-FAIR OAKS</t>
  </si>
  <si>
    <t>495217</t>
  </si>
  <si>
    <t>MEADE DISTRICT HOSP LTCU DBA LONE TREE RETIREMENT</t>
  </si>
  <si>
    <t>17E026</t>
  </si>
  <si>
    <t>GASCONADE MANOR NURSING HOME</t>
  </si>
  <si>
    <t>265546</t>
  </si>
  <si>
    <t>STILL HOPES EPISCOPAL RETIREMENT COMMUNITY</t>
  </si>
  <si>
    <t>425401</t>
  </si>
  <si>
    <t>MANORCARE HEALTH SERVICES-IMPERIAL</t>
  </si>
  <si>
    <t>495283</t>
  </si>
  <si>
    <t>MEADOWBROOK REHABILITATION HOSPITAL LTCU</t>
  </si>
  <si>
    <t>175130</t>
  </si>
  <si>
    <t>GENERAL BAPTIST NURSING HOME</t>
  </si>
  <si>
    <t>265677</t>
  </si>
  <si>
    <t>SUMMIT HILLS SKILLED NURSING FACILITY</t>
  </si>
  <si>
    <t>425390</t>
  </si>
  <si>
    <t>MANORCARE HEALTH SERVICES-RICHMOND</t>
  </si>
  <si>
    <t>495045</t>
  </si>
  <si>
    <t>MEADOWLARK HILLS</t>
  </si>
  <si>
    <t>175174</t>
  </si>
  <si>
    <t>GEORGIAN GARDENS CENTER FOR REHAB AND HEALTHCARE</t>
  </si>
  <si>
    <t>265516</t>
  </si>
  <si>
    <t>SUMTER EAST HEALTH &amp; REHABILITATION CENTER</t>
  </si>
  <si>
    <t>425107</t>
  </si>
  <si>
    <t>MAPLE GROVE HEALTH CARE CENTER</t>
  </si>
  <si>
    <t>495365</t>
  </si>
  <si>
    <t>MEDICALODGES ARKANSAS CITY</t>
  </si>
  <si>
    <t>175313</t>
  </si>
  <si>
    <t>GERALD NURSING AND REHAB</t>
  </si>
  <si>
    <t>265440</t>
  </si>
  <si>
    <t>SUNNY ACRES NURSING HOME</t>
  </si>
  <si>
    <t>425093</t>
  </si>
  <si>
    <t>MARTINSVILLE HEALTH AND REHAB</t>
  </si>
  <si>
    <t>495143</t>
  </si>
  <si>
    <t>MEDICALODGES ATCHISON</t>
  </si>
  <si>
    <t>175141</t>
  </si>
  <si>
    <t>GIDEON CARE CENTER</t>
  </si>
  <si>
    <t>265409</t>
  </si>
  <si>
    <t>THE ARBORETUM AT THE WOODLANDS</t>
  </si>
  <si>
    <t>425394</t>
  </si>
  <si>
    <t>MONROE HEALTH &amp; REHAB CENTER</t>
  </si>
  <si>
    <t>495326</t>
  </si>
  <si>
    <t>MEDICALODGES CLAY CENTER</t>
  </si>
  <si>
    <t>175351</t>
  </si>
  <si>
    <t>GLASGOW GARDENS</t>
  </si>
  <si>
    <t>265535</t>
  </si>
  <si>
    <t>THE HERITAGE AT LOWMAN REHAB AND HEALTHCARE</t>
  </si>
  <si>
    <t>425100</t>
  </si>
  <si>
    <t>MOUNT VERNON HEALTHCARE CENTER</t>
  </si>
  <si>
    <t>495211</t>
  </si>
  <si>
    <t>MEDICALODGES COFFEYVILLE</t>
  </si>
  <si>
    <t>175237</t>
  </si>
  <si>
    <t>GLENDALE GARDENS NURSING &amp; REHAB</t>
  </si>
  <si>
    <t>265473</t>
  </si>
  <si>
    <t>THE LODGE AT WELLMORE- TEGA CAY</t>
  </si>
  <si>
    <t>425407</t>
  </si>
  <si>
    <t>MOUNTAIN VIEW NURSING HOME</t>
  </si>
  <si>
    <t>49E050</t>
  </si>
  <si>
    <t>MEDICALODGES COLUMBUS</t>
  </si>
  <si>
    <t>175264</t>
  </si>
  <si>
    <t>GLENWOOD HEALTHCARE</t>
  </si>
  <si>
    <t>265608</t>
  </si>
  <si>
    <t>THE METHODIST OAKS</t>
  </si>
  <si>
    <t>425131</t>
  </si>
  <si>
    <t>MOUNTAIN VIEW REGIONAL MEDICAL CENTER</t>
  </si>
  <si>
    <t>495374</t>
  </si>
  <si>
    <t>MEDICALODGES EUDORA</t>
  </si>
  <si>
    <t>175502</t>
  </si>
  <si>
    <t>GOLDEN AGE LIVING CENTER</t>
  </si>
  <si>
    <t>265655</t>
  </si>
  <si>
    <t>THE PLACE AT PEPPER HILL</t>
  </si>
  <si>
    <t>425308</t>
  </si>
  <si>
    <t>MULBERRY CREEK NURSING AND REHAB CENTER</t>
  </si>
  <si>
    <t>495426</t>
  </si>
  <si>
    <t>MEDICALODGES FORT SCOTT</t>
  </si>
  <si>
    <t>175258</t>
  </si>
  <si>
    <t>GOLDEN AGE NURSING HOME</t>
  </si>
  <si>
    <t>265718</t>
  </si>
  <si>
    <t>THE PRESTON HEALTH CENTER</t>
  </si>
  <si>
    <t>425325</t>
  </si>
  <si>
    <t>NEWPORT NEWS NURSING &amp; REHAB</t>
  </si>
  <si>
    <t>495340</t>
  </si>
  <si>
    <t>MEDICALODGES FRONTENAC</t>
  </si>
  <si>
    <t>175363</t>
  </si>
  <si>
    <t>GOLDEN YEARS CENTER FOR REHAB AND HEALTHCARE</t>
  </si>
  <si>
    <t>265349</t>
  </si>
  <si>
    <t>THE RETREAT AT BRIGHTWATER</t>
  </si>
  <si>
    <t>425395</t>
  </si>
  <si>
    <t>NHC HEALTHCARE,BRISTOL</t>
  </si>
  <si>
    <t>495131</t>
  </si>
  <si>
    <t>MEDICALODGES GARDNER</t>
  </si>
  <si>
    <t>175243</t>
  </si>
  <si>
    <t>GOOD SAMARITAN CARE CENTER</t>
  </si>
  <si>
    <t>265770</t>
  </si>
  <si>
    <t>THE RIDGE REHABILITATION AND HEALTHCARE CENTER, LL</t>
  </si>
  <si>
    <t>425293</t>
  </si>
  <si>
    <t>NORFOLK HEALTH AND REHABILITATION CENTER</t>
  </si>
  <si>
    <t>495210</t>
  </si>
  <si>
    <t>MEDICALODGES GIRARD</t>
  </si>
  <si>
    <t>175440</t>
  </si>
  <si>
    <t>GOOD SHEPHERD CARE CENTER</t>
  </si>
  <si>
    <t>265528</t>
  </si>
  <si>
    <t>VALLEY FALLS TERRACE</t>
  </si>
  <si>
    <t>425096</t>
  </si>
  <si>
    <t>NORTHAMPTON CONVALESCENT AND REHABILITATION CENTER</t>
  </si>
  <si>
    <t>495367</t>
  </si>
  <si>
    <t>MEDICALODGES GODDARD</t>
  </si>
  <si>
    <t>175294</t>
  </si>
  <si>
    <t>GOOD SHEPHERD COMMUNITY CARE AND REHABILITATION</t>
  </si>
  <si>
    <t>265705</t>
  </si>
  <si>
    <t>VETERANS VICTORY HOUSE</t>
  </si>
  <si>
    <t>425386</t>
  </si>
  <si>
    <t>NOVA HEALTH AND REHAB</t>
  </si>
  <si>
    <t>495412</t>
  </si>
  <si>
    <t>MEDICALODGES GREAT BEND</t>
  </si>
  <si>
    <t>175522</t>
  </si>
  <si>
    <t>GOWER CONVALESCENT CENTER, INC</t>
  </si>
  <si>
    <t>265800</t>
  </si>
  <si>
    <t>WELLMORE OF LEXINGTON, LLC</t>
  </si>
  <si>
    <t>425412</t>
  </si>
  <si>
    <t>OAKWOOD MANOR BEDFORD MEM</t>
  </si>
  <si>
    <t>495046</t>
  </si>
  <si>
    <t>MEDICALODGES INDEPENDENCE</t>
  </si>
  <si>
    <t>175464</t>
  </si>
  <si>
    <t>GRANBY HOUSE</t>
  </si>
  <si>
    <t>265468</t>
  </si>
  <si>
    <t>WESTMINSTER HEALTH &amp; REHAB CENTER</t>
  </si>
  <si>
    <t>425291</t>
  </si>
  <si>
    <t>OUR LADY OF HOPE HEALTH CENTER</t>
  </si>
  <si>
    <t>495311</t>
  </si>
  <si>
    <t>MEDICALODGES JACKSON COUNTY</t>
  </si>
  <si>
    <t>175435</t>
  </si>
  <si>
    <t>GRAND MANOR NURSING &amp; REHABILITATION CENTER</t>
  </si>
  <si>
    <t>265717</t>
  </si>
  <si>
    <t>WHITE OAK AT NORTH GROVE INC</t>
  </si>
  <si>
    <t>425408</t>
  </si>
  <si>
    <t>OUR LADY OF PEACE INC</t>
  </si>
  <si>
    <t>49A007</t>
  </si>
  <si>
    <t>MEDICALODGES KINSLEY</t>
  </si>
  <si>
    <t>175275</t>
  </si>
  <si>
    <t>GRAND PAVILION AT THE PLAZA</t>
  </si>
  <si>
    <t>265199</t>
  </si>
  <si>
    <t>WHITE OAK ESTATES</t>
  </si>
  <si>
    <t>425290</t>
  </si>
  <si>
    <t>OUR LADY OF PERPETUAL HELP</t>
  </si>
  <si>
    <t>49E256</t>
  </si>
  <si>
    <t>MEDICALODGES LEAVENWORTH</t>
  </si>
  <si>
    <t>175162</t>
  </si>
  <si>
    <t>GRAND RIVER HEALTH CARE</t>
  </si>
  <si>
    <t>265480</t>
  </si>
  <si>
    <t>WHITE OAK MANOR - CHARLESTON</t>
  </si>
  <si>
    <t>425128</t>
  </si>
  <si>
    <t>OUR LADY OF THE VALLEY</t>
  </si>
  <si>
    <t>495357</t>
  </si>
  <si>
    <t>MEDICALODGES PAOLA</t>
  </si>
  <si>
    <t>175413</t>
  </si>
  <si>
    <t>GRANDVIEW HEALTHCARE CENTER</t>
  </si>
  <si>
    <t>265374</t>
  </si>
  <si>
    <t>WHITE OAK MANOR - COLUMBIA</t>
  </si>
  <si>
    <t>425068</t>
  </si>
  <si>
    <t>PARHAM HEALTH CARE &amp; REHAB CEN</t>
  </si>
  <si>
    <t>495097</t>
  </si>
  <si>
    <t>MEDICALODGES PITTSBURG</t>
  </si>
  <si>
    <t>175070</t>
  </si>
  <si>
    <t>GREEN PARK SENIOR LIVING COMMUNITY</t>
  </si>
  <si>
    <t>265703</t>
  </si>
  <si>
    <t>WHITE OAK MANOR - LANCASTER</t>
  </si>
  <si>
    <t>425017</t>
  </si>
  <si>
    <t>PELICAN HEALTH NORFOLK</t>
  </si>
  <si>
    <t>495309</t>
  </si>
  <si>
    <t>MEDICALODGES POST ACUTE CARE CENTER</t>
  </si>
  <si>
    <t>175135</t>
  </si>
  <si>
    <t>GREENVILLE HEALTH CARE CENTER</t>
  </si>
  <si>
    <t>265547</t>
  </si>
  <si>
    <t>WHITE OAK MANOR - NEWBERRY</t>
  </si>
  <si>
    <t>425077</t>
  </si>
  <si>
    <t>PETERSBURG HEALTHCARE CENTER</t>
  </si>
  <si>
    <t>495144</t>
  </si>
  <si>
    <t>MEDICALODGES WICHITA</t>
  </si>
  <si>
    <t>175008</t>
  </si>
  <si>
    <t>GREGORY RIDGE HEALTH CARE CENTER</t>
  </si>
  <si>
    <t>265721</t>
  </si>
  <si>
    <t>WHITE OAK MANOR - ROCK HILL</t>
  </si>
  <si>
    <t>425088</t>
  </si>
  <si>
    <t>PHEASANT RIDGE NURSING &amp; REHAB CENTER</t>
  </si>
  <si>
    <t>495325</t>
  </si>
  <si>
    <t>MEMORIAL HOSPITAL LTCU (VILLAGE MANOR)</t>
  </si>
  <si>
    <t>175244</t>
  </si>
  <si>
    <t>HARTVILLE CARE CENTER</t>
  </si>
  <si>
    <t>265593</t>
  </si>
  <si>
    <t>WHITE OAK MANOR - SPARTANBURG</t>
  </si>
  <si>
    <t>425024</t>
  </si>
  <si>
    <t>PINEY FOREST HEALTH AND REHABILITATION CENTER</t>
  </si>
  <si>
    <t>495107</t>
  </si>
  <si>
    <t>MENNONITE FRIENDSHIP COMMUNITIES INC</t>
  </si>
  <si>
    <t>175379</t>
  </si>
  <si>
    <t>HEART OF THE OZARKS HEALTHCARE CENTER</t>
  </si>
  <si>
    <t>265254</t>
  </si>
  <si>
    <t>WHITE OAK MANOR - YORK</t>
  </si>
  <si>
    <t>425089</t>
  </si>
  <si>
    <t>PORTSIDE HEALTH &amp; REHAB CENTER</t>
  </si>
  <si>
    <t>495201</t>
  </si>
  <si>
    <t>MERIDIAN REHABILITATION AND HEALTH CARE CENTER</t>
  </si>
  <si>
    <t>175274</t>
  </si>
  <si>
    <t>HEARTLAND CARE AND REHABILITATION CENTER</t>
  </si>
  <si>
    <t>265503</t>
  </si>
  <si>
    <t>WILDEWOOD DOWNS</t>
  </si>
  <si>
    <t>425385</t>
  </si>
  <si>
    <t>PORTSMOUTH HEALTH AND REHAB</t>
  </si>
  <si>
    <t>495149</t>
  </si>
  <si>
    <t>MERRIAM GARDENS HEALTHCARE &amp; REHABILITATION</t>
  </si>
  <si>
    <t>175123</t>
  </si>
  <si>
    <t>HEISINGER LUTHERAN HOME</t>
  </si>
  <si>
    <t>265794</t>
  </si>
  <si>
    <t>WILLISTON HEALTHCARE AND REHAB LLC</t>
  </si>
  <si>
    <t>425297</t>
  </si>
  <si>
    <t>POTOMAC FALLS HEALTH &amp; REHAB CENTER</t>
  </si>
  <si>
    <t>495179</t>
  </si>
  <si>
    <t>MINNEAPOLIS HEALTH AND REHABILITATION</t>
  </si>
  <si>
    <t>175282</t>
  </si>
  <si>
    <t>HERITAGE CARE CENTER</t>
  </si>
  <si>
    <t>265534</t>
  </si>
  <si>
    <t>WILLOW BROOKE COURT AT PARK POINTE VILLAGE</t>
  </si>
  <si>
    <t>425375</t>
  </si>
  <si>
    <t>PRINCESS ANNE HEALTH &amp; REHABILITATION CENTER</t>
  </si>
  <si>
    <t>495418</t>
  </si>
  <si>
    <t>MINNEOLA DISTRICT HOSPITAL LTCU</t>
  </si>
  <si>
    <t>17E470</t>
  </si>
  <si>
    <t>HERITAGE HALL NURSING CENTER</t>
  </si>
  <si>
    <t>265385</t>
  </si>
  <si>
    <t>WINDSOR MANOR</t>
  </si>
  <si>
    <t>425114</t>
  </si>
  <si>
    <t>PULASKI HLTH &amp; REHAB CNTR</t>
  </si>
  <si>
    <t>495294</t>
  </si>
  <si>
    <t>MISSION VILLAGE LIVING CENTER, INC</t>
  </si>
  <si>
    <t>175546</t>
  </si>
  <si>
    <t>HERITAGE NURSING CENTER-SKILLED NURS BY AMERICARE</t>
  </si>
  <si>
    <t>265531</t>
  </si>
  <si>
    <t>WOODRUFF MANOR</t>
  </si>
  <si>
    <t>425179</t>
  </si>
  <si>
    <t>RADFORD HEALTH AND REHAB CENTER</t>
  </si>
  <si>
    <t>495355</t>
  </si>
  <si>
    <t>MITCHELL COUNTY HOSPITAL HEALTH SYSTEMS LTCU</t>
  </si>
  <si>
    <t>175505</t>
  </si>
  <si>
    <t>HERMITAGE NURSING &amp; REHAB</t>
  </si>
  <si>
    <t>265239</t>
  </si>
  <si>
    <t>RALEIGH COURT HEALTH AND REHABILITATION CENTER</t>
  </si>
  <si>
    <t>495209</t>
  </si>
  <si>
    <t>ML-OP OXFORD, LLC</t>
  </si>
  <si>
    <t>175450</t>
  </si>
  <si>
    <t>HICKORY MANOR</t>
  </si>
  <si>
    <t>265632</t>
  </si>
  <si>
    <t>RAPPAHANNOCK WESTMINSTER CANTE</t>
  </si>
  <si>
    <t>495160</t>
  </si>
  <si>
    <t>MONTGOMERY PLACE NURSING CENTER</t>
  </si>
  <si>
    <t>175511</t>
  </si>
  <si>
    <t>HIDDEN LAKE CARE CENTER</t>
  </si>
  <si>
    <t>265510</t>
  </si>
  <si>
    <t>REGENCY CARE OF ARLINGTON, LLC</t>
  </si>
  <si>
    <t>495114</t>
  </si>
  <si>
    <t>MORAN MANOR</t>
  </si>
  <si>
    <t>175224</t>
  </si>
  <si>
    <t>HIGHLAND REHABILITATION &amp; HEALTH CARE CENTER</t>
  </si>
  <si>
    <t>265167</t>
  </si>
  <si>
    <t>REGENCY HEALTH AND REHABILITATION CENTER</t>
  </si>
  <si>
    <t>495189</t>
  </si>
  <si>
    <t>MORTON COUNTY SENIOR LIVING COMMUNITY</t>
  </si>
  <si>
    <t>175552</t>
  </si>
  <si>
    <t>HILL CREST MANOR</t>
  </si>
  <si>
    <t>265665</t>
  </si>
  <si>
    <t>RICHFIELD RECOVERY &amp;  CARE CENTER</t>
  </si>
  <si>
    <t>495013</t>
  </si>
  <si>
    <t>MOUNDRIDGE MANOR</t>
  </si>
  <si>
    <t>175553</t>
  </si>
  <si>
    <t>HILLCREST CARE CENTER INC</t>
  </si>
  <si>
    <t>265620</t>
  </si>
  <si>
    <t>RIDGECREST MANOR NURSING &amp; REHABILITATION</t>
  </si>
  <si>
    <t>495134</t>
  </si>
  <si>
    <t>MOUNT HOPE NURSING CENTER</t>
  </si>
  <si>
    <t>175481</t>
  </si>
  <si>
    <t>HILLSIDE MANOR HEALTHCARE AND REHAB CENTER</t>
  </si>
  <si>
    <t>265585</t>
  </si>
  <si>
    <t>RIVER VIEW ON THE APPOMATTOX HEALTH &amp; REHAB CENTER</t>
  </si>
  <si>
    <t>495085</t>
  </si>
  <si>
    <t>MOUNT JOSEPH SENIOR VILLAGE LLC</t>
  </si>
  <si>
    <t>175420</t>
  </si>
  <si>
    <t>HILLVIEW NURSING &amp; REHAB</t>
  </si>
  <si>
    <t>265696</t>
  </si>
  <si>
    <t>RIVERSIDE CONVAL CENTER-MATHEW</t>
  </si>
  <si>
    <t>49E215</t>
  </si>
  <si>
    <t>MOUNT ST MARY</t>
  </si>
  <si>
    <t>175561</t>
  </si>
  <si>
    <t>HOLDEN MANOR CARE CENTER</t>
  </si>
  <si>
    <t>265739</t>
  </si>
  <si>
    <t>RIVERSIDE CONVAL CENTER-SALUDA</t>
  </si>
  <si>
    <t>49E185</t>
  </si>
  <si>
    <t>NEODESHA  OPERATOR LLC</t>
  </si>
  <si>
    <t>175317</t>
  </si>
  <si>
    <t>HOPE CARE CENTER</t>
  </si>
  <si>
    <t>26A443</t>
  </si>
  <si>
    <t>RIVERSIDE CONVALESCENT CNTR WE</t>
  </si>
  <si>
    <t>495303</t>
  </si>
  <si>
    <t>NESS COUNTY HOSPITAL LTCU DBA CEDAR VILLAGE</t>
  </si>
  <si>
    <t>17E625</t>
  </si>
  <si>
    <t>HOUSTON HOUSE</t>
  </si>
  <si>
    <t>265470</t>
  </si>
  <si>
    <t>RIVERSIDE HEALTH &amp; REHAB CNTR</t>
  </si>
  <si>
    <t>495295</t>
  </si>
  <si>
    <t>NEWTON PRESBYTERIAN MANOR</t>
  </si>
  <si>
    <t>175302</t>
  </si>
  <si>
    <t>HUNTER ACRES CARING CENTER</t>
  </si>
  <si>
    <t>265387</t>
  </si>
  <si>
    <t>RIVERSIDE HEALTHY LIVING COMMUNITY-SMITHFIELD</t>
  </si>
  <si>
    <t>495332</t>
  </si>
  <si>
    <t>NORTH POINT SKILLED NURSING CENTER</t>
  </si>
  <si>
    <t>175276</t>
  </si>
  <si>
    <t>IGNITE MEDICAL RESORT KANSAS CITY, LLC</t>
  </si>
  <si>
    <t>265872</t>
  </si>
  <si>
    <t>RIVERSIDE REHABILITATION CENTER AT HAMPTON</t>
  </si>
  <si>
    <t>495308</t>
  </si>
  <si>
    <t>NOTTINGHAM HEALTH AND REHABILITATION</t>
  </si>
  <si>
    <t>175540</t>
  </si>
  <si>
    <t>INDEPENDENCE CARE CENTER OF PERRY COUNTY</t>
  </si>
  <si>
    <t>265829</t>
  </si>
  <si>
    <t>ROCKY MOUNT HEALTH &amp; REHAB CENTER</t>
  </si>
  <si>
    <t>495118</t>
  </si>
  <si>
    <t>ONAGA OPERATOR, LLC</t>
  </si>
  <si>
    <t>175220</t>
  </si>
  <si>
    <t>INDEPENDENCE MANOR CARE CENTER</t>
  </si>
  <si>
    <t>265682</t>
  </si>
  <si>
    <t>ROMAN EAGLE REHABILITATION AND HEALTH CARE CENTER</t>
  </si>
  <si>
    <t>495015</t>
  </si>
  <si>
    <t>ORCHARD GARDENS</t>
  </si>
  <si>
    <t>175452</t>
  </si>
  <si>
    <t>INDIAN HILLS-A STONEBRIDGE COMMUNITY</t>
  </si>
  <si>
    <t>265785</t>
  </si>
  <si>
    <t>ROSE HILL HEALTH AND REHAB</t>
  </si>
  <si>
    <t>495140</t>
  </si>
  <si>
    <t>OSAGE NURSING &amp; REHABILITATION CENTER</t>
  </si>
  <si>
    <t>175256</t>
  </si>
  <si>
    <t>JACKSON MANOR NURSING HOME</t>
  </si>
  <si>
    <t>265438</t>
  </si>
  <si>
    <t>SALEM HEALTH &amp; REHABILITATION</t>
  </si>
  <si>
    <t>495087</t>
  </si>
  <si>
    <t>OSWEGO OPERATOR, LLC</t>
  </si>
  <si>
    <t>175434</t>
  </si>
  <si>
    <t>JAMES RIVER NURSING AND REHABILITATION</t>
  </si>
  <si>
    <t>265664</t>
  </si>
  <si>
    <t>SEASIDE HHC @ ATLANTIC SHORE</t>
  </si>
  <si>
    <t>495324</t>
  </si>
  <si>
    <t>OTTAWA COUNTY HEALTH CENTER LTCU</t>
  </si>
  <si>
    <t>17E384</t>
  </si>
  <si>
    <t>JEANNE JUGAN CENTER</t>
  </si>
  <si>
    <t>26A292</t>
  </si>
  <si>
    <t>SENTARA MEADOWVIEW TERRACE</t>
  </si>
  <si>
    <t>495379</t>
  </si>
  <si>
    <t>OVERLAND PARK NURSING AND REHAB CENTER</t>
  </si>
  <si>
    <t>175187</t>
  </si>
  <si>
    <t>JEFFERSON CITY MANOR CARE CENTER</t>
  </si>
  <si>
    <t>265285</t>
  </si>
  <si>
    <t>SENTARA NURSING AND REHAB CENTER-WINDERMERE</t>
  </si>
  <si>
    <t>495392</t>
  </si>
  <si>
    <t>OVERLAND PARK REHABILITATION AND HEALTHCARE</t>
  </si>
  <si>
    <t>175180</t>
  </si>
  <si>
    <t>JEFFERSON CITY NURSING AND REHABILITATION CTR, LLC</t>
  </si>
  <si>
    <t>265530</t>
  </si>
  <si>
    <t>SENTARA NURSING CENTER HAMPTON</t>
  </si>
  <si>
    <t>495287</t>
  </si>
  <si>
    <t>PARK LANE NURSING HOME</t>
  </si>
  <si>
    <t>175525</t>
  </si>
  <si>
    <t>JEFFERSON HEALTH CARE</t>
  </si>
  <si>
    <t>265377</t>
  </si>
  <si>
    <t>SENTARA NURSING CENTER VA BEAC</t>
  </si>
  <si>
    <t>495270</t>
  </si>
  <si>
    <t>PARK VILLA</t>
  </si>
  <si>
    <t>175492</t>
  </si>
  <si>
    <t>JOHN KNOX VILLAGE CARE CENTER</t>
  </si>
  <si>
    <t>265095</t>
  </si>
  <si>
    <t>SENTARA REHABILITATION &amp; CARE RESIDENCE-CHESAPEAKE</t>
  </si>
  <si>
    <t>495215</t>
  </si>
  <si>
    <t>PARKSIDE HOMES</t>
  </si>
  <si>
    <t>175387</t>
  </si>
  <si>
    <t>JOHNSON COUNTY CARE CENTER</t>
  </si>
  <si>
    <t>26E256</t>
  </si>
  <si>
    <t>SENTARA WOODVIEW</t>
  </si>
  <si>
    <t>495372</t>
  </si>
  <si>
    <t>PARKVIEW CARE CENTER</t>
  </si>
  <si>
    <t>175409</t>
  </si>
  <si>
    <t>JONESBURG NURSING &amp; REHAB</t>
  </si>
  <si>
    <t>265333</t>
  </si>
  <si>
    <t>SHENANDOAH NURSING HOME</t>
  </si>
  <si>
    <t>495262</t>
  </si>
  <si>
    <t>PARKVIEW HEIGHTS</t>
  </si>
  <si>
    <t>175433</t>
  </si>
  <si>
    <t>JOPLIN GARDENS</t>
  </si>
  <si>
    <t>265853</t>
  </si>
  <si>
    <t>SHENANDOAH VALLEY HEALTH AND REHAB</t>
  </si>
  <si>
    <t>495168</t>
  </si>
  <si>
    <t>PARKWAY OPERATOR LLC</t>
  </si>
  <si>
    <t>175229</t>
  </si>
  <si>
    <t>JOPLIN HEALTH AND REHABILITATION CENTER</t>
  </si>
  <si>
    <t>265309</t>
  </si>
  <si>
    <t>SHENANDOAH VLY WESTMINSTER-CANTERBURY</t>
  </si>
  <si>
    <t>495165</t>
  </si>
  <si>
    <t>PARSONS PRESBYTERIAN MANOR</t>
  </si>
  <si>
    <t>175303</t>
  </si>
  <si>
    <t>JORDAN CREEK NURSING &amp; REHAB</t>
  </si>
  <si>
    <t>265394</t>
  </si>
  <si>
    <t>SHORE HEALTH &amp; REHAB CENTER</t>
  </si>
  <si>
    <t>495334</t>
  </si>
  <si>
    <t>PEABODY OPERATOR, LLC</t>
  </si>
  <si>
    <t>175457</t>
  </si>
  <si>
    <t>KABUL NURSING HOMES INC</t>
  </si>
  <si>
    <t>265055</t>
  </si>
  <si>
    <t>SIGNATURE HEALTHCARE OF NORFOLK</t>
  </si>
  <si>
    <t>495068</t>
  </si>
  <si>
    <t>PHILLIPS COUNTY RETIREMENT CENTER</t>
  </si>
  <si>
    <t>17E658</t>
  </si>
  <si>
    <t>KANSAS CITY CENTER FOR REHABILITATION AND HEALTHCA</t>
  </si>
  <si>
    <t>265830</t>
  </si>
  <si>
    <t>SITTER AND BARFOOT VETERANS CARE CENTER</t>
  </si>
  <si>
    <t>495393</t>
  </si>
  <si>
    <t>PINE VILLAGE</t>
  </si>
  <si>
    <t>175414</t>
  </si>
  <si>
    <t>KATY MANOR</t>
  </si>
  <si>
    <t>265801</t>
  </si>
  <si>
    <t>SKYLINE NURSING &amp; REHABILITATION CENTER</t>
  </si>
  <si>
    <t>495348</t>
  </si>
  <si>
    <t>PINNACLE PARK NURSING &amp; REHAB CENTER</t>
  </si>
  <si>
    <t>175184</t>
  </si>
  <si>
    <t>KINGSWOOD</t>
  </si>
  <si>
    <t>265795</t>
  </si>
  <si>
    <t>SKYLINE TERRACE CONV HOME</t>
  </si>
  <si>
    <t>49E075</t>
  </si>
  <si>
    <t>PINNACLE RIDGE NURSING &amp; REHAB CENTER</t>
  </si>
  <si>
    <t>175213</t>
  </si>
  <si>
    <t>KIRKSVILLE MANOR CARE CENTER</t>
  </si>
  <si>
    <t>265247</t>
  </si>
  <si>
    <t>SKYVIEW SPRINGS REHAB AND NURSING CENTER</t>
  </si>
  <si>
    <t>495255</t>
  </si>
  <si>
    <t>PIONEER LODGE</t>
  </si>
  <si>
    <t>17E580</t>
  </si>
  <si>
    <t>KNOX COUNTY NURSING HOME DISTRICT</t>
  </si>
  <si>
    <t>265763</t>
  </si>
  <si>
    <t>SNYDER NURSING HOME</t>
  </si>
  <si>
    <t>49E076</t>
  </si>
  <si>
    <t>PIONEER RIDGE RETIREMENT COMMUNITY</t>
  </si>
  <si>
    <t>175445</t>
  </si>
  <si>
    <t>LA BELLE MANOR CARE CENTER</t>
  </si>
  <si>
    <t>265646</t>
  </si>
  <si>
    <t>SOUTH ROANOKE NURSING HOME</t>
  </si>
  <si>
    <t>495002</t>
  </si>
  <si>
    <t>PITTSBURG OPERATOR  LLC</t>
  </si>
  <si>
    <t>175208</t>
  </si>
  <si>
    <t>LA PLATA NURSING HOME</t>
  </si>
  <si>
    <t>265793</t>
  </si>
  <si>
    <t>SOUTHAMPTON MEMORIAL HOSP</t>
  </si>
  <si>
    <t>495157</t>
  </si>
  <si>
    <t>PLAZA WEST HEALTHCARE AND REHAB</t>
  </si>
  <si>
    <t>175255</t>
  </si>
  <si>
    <t>LACOBA HOMES INC</t>
  </si>
  <si>
    <t>265634</t>
  </si>
  <si>
    <t>SPRINGTREE HEALTHCARE &amp; REHAB CENTER</t>
  </si>
  <si>
    <t>495378</t>
  </si>
  <si>
    <t>PLEASANT VALLEY MANOR</t>
  </si>
  <si>
    <t>175232</t>
  </si>
  <si>
    <t>LAKE REGIONAL HEALTH SYSTEMS</t>
  </si>
  <si>
    <t>265429</t>
  </si>
  <si>
    <t>ST FRANCIS NURSING CTR</t>
  </si>
  <si>
    <t>495204</t>
  </si>
  <si>
    <t>PLEASANT VIEW HOME</t>
  </si>
  <si>
    <t>175406</t>
  </si>
  <si>
    <t>LAKE STOCKTON HEALTHCARE FACILITY</t>
  </si>
  <si>
    <t>265466</t>
  </si>
  <si>
    <t>STANLEYTOWN HEALTH AND REHABILITATION CENTER</t>
  </si>
  <si>
    <t>495216</t>
  </si>
  <si>
    <t>PRAIRIE MISSION RETIREMENT VILLAGE</t>
  </si>
  <si>
    <t>175468</t>
  </si>
  <si>
    <t>LAKESIDE MEADOWS-A STONEBRIDGE COMMUNITY</t>
  </si>
  <si>
    <t>265779</t>
  </si>
  <si>
    <t>STRATFORD HEALTHCARE CENTER</t>
  </si>
  <si>
    <t>495166</t>
  </si>
  <si>
    <t>PRAIRIE SUNSET HOME INC</t>
  </si>
  <si>
    <t>175489</t>
  </si>
  <si>
    <t>LAKEVIEW HEALTH CARE &amp; REHABILITATION CENTER</t>
  </si>
  <si>
    <t>265522</t>
  </si>
  <si>
    <t>SUMMIT HEALTH &amp; REHABILITATION CENTER</t>
  </si>
  <si>
    <t>495381</t>
  </si>
  <si>
    <t>PRATT OPERATOR, LLC</t>
  </si>
  <si>
    <t>175315</t>
  </si>
  <si>
    <t>LAURIE CARE CENTER</t>
  </si>
  <si>
    <t>265737</t>
  </si>
  <si>
    <t>SUMMIT SQUARE</t>
  </si>
  <si>
    <t>495405</t>
  </si>
  <si>
    <t>PRATT REHABILITATION AND RESIDENCE CENTER</t>
  </si>
  <si>
    <t>175496</t>
  </si>
  <si>
    <t>LAVERNA SENIOR LIVING</t>
  </si>
  <si>
    <t>265787</t>
  </si>
  <si>
    <t>SUNNYSIDE PRESBYTERIAN RETIREMENT COMMUNITY</t>
  </si>
  <si>
    <t>495387</t>
  </si>
  <si>
    <t>PROTECTION VALLEY MANOR</t>
  </si>
  <si>
    <t>17E034</t>
  </si>
  <si>
    <t>LAWRENCE COUNTY MANOR</t>
  </si>
  <si>
    <t>265752</t>
  </si>
  <si>
    <t>SW VA M H INST GERI TRT CTR</t>
  </si>
  <si>
    <t>49E131</t>
  </si>
  <si>
    <t>PROVIDENCE LIVING CENTER</t>
  </si>
  <si>
    <t>175418</t>
  </si>
  <si>
    <t>LAWSON MANOR &amp; REHAB</t>
  </si>
  <si>
    <t>265666</t>
  </si>
  <si>
    <t>THE BRIAN CENTER</t>
  </si>
  <si>
    <t>495221</t>
  </si>
  <si>
    <t>PROVIDENCE PLACE LTCU</t>
  </si>
  <si>
    <t>175159</t>
  </si>
  <si>
    <t>LEBANON NORTH NURSING &amp; REHAB</t>
  </si>
  <si>
    <t>265123</t>
  </si>
  <si>
    <t>THE CARRINGTON</t>
  </si>
  <si>
    <t>495302</t>
  </si>
  <si>
    <t>QUAKER HILL MANOR</t>
  </si>
  <si>
    <t>175470</t>
  </si>
  <si>
    <t>LEBANON SOUTH NURSING &amp; REHAB</t>
  </si>
  <si>
    <t>265428</t>
  </si>
  <si>
    <t>THE CHESAPEAKE</t>
  </si>
  <si>
    <t>495397</t>
  </si>
  <si>
    <t>RANCH HOUSE SENIOR LIVING LLC</t>
  </si>
  <si>
    <t>175562</t>
  </si>
  <si>
    <t>LEE'S SUMMIT POINTE HEALTH &amp; REHABILITATION</t>
  </si>
  <si>
    <t>265512</t>
  </si>
  <si>
    <t>THE CITADEL VIRGINIA BEACH LLC</t>
  </si>
  <si>
    <t>495150</t>
  </si>
  <si>
    <t>REGENT PARK REHABILITATION AND HEALTHCARE</t>
  </si>
  <si>
    <t>175527</t>
  </si>
  <si>
    <t>LEGENDARY NURSING &amp; REHABILITATION LLC</t>
  </si>
  <si>
    <t>265508</t>
  </si>
  <si>
    <t>THE CONVALESCENT CENTER AT PATRIOTS COLONY</t>
  </si>
  <si>
    <t>495369</t>
  </si>
  <si>
    <t>RICHMOND HEALTHCARE &amp; REHAB CENTER</t>
  </si>
  <si>
    <t>175444</t>
  </si>
  <si>
    <t>LENOIR HEALTH CARE CENTER</t>
  </si>
  <si>
    <t>265639</t>
  </si>
  <si>
    <t>THE CULPEPER</t>
  </si>
  <si>
    <t>495400</t>
  </si>
  <si>
    <t>RIVERVIEW ESTATES</t>
  </si>
  <si>
    <t>175497</t>
  </si>
  <si>
    <t>LEVERING REGIONAL HEALTH CARE CENTER</t>
  </si>
  <si>
    <t>265469</t>
  </si>
  <si>
    <t>THE FOUNTAINS AT WASHINGTON HOUSE</t>
  </si>
  <si>
    <t>495288</t>
  </si>
  <si>
    <t>ROCK CREEK OF OTTAWA</t>
  </si>
  <si>
    <t>175332</t>
  </si>
  <si>
    <t>LEWIS &amp; CLARK GARDENS</t>
  </si>
  <si>
    <t>265160</t>
  </si>
  <si>
    <t>THE GARDENS AT WARWICK FOREST</t>
  </si>
  <si>
    <t>495071</t>
  </si>
  <si>
    <t>ROLLING HILLS HEALTH CENTER</t>
  </si>
  <si>
    <t>175165</t>
  </si>
  <si>
    <t>LEWIS COUNTY NURSING HOME DISTRICT</t>
  </si>
  <si>
    <t>265360</t>
  </si>
  <si>
    <t>THE GLEBE</t>
  </si>
  <si>
    <t>495404</t>
  </si>
  <si>
    <t>ROOKS CO SENIOR SERVICES INC DBA REDBUD VILLAGE</t>
  </si>
  <si>
    <t>17E197</t>
  </si>
  <si>
    <t>LIBERTY HEALTH &amp; WELLNESS</t>
  </si>
  <si>
    <t>265857</t>
  </si>
  <si>
    <t>THE HAVEN AT BRANDERMILL WOODS</t>
  </si>
  <si>
    <t>495183</t>
  </si>
  <si>
    <t>ROSSVILLE HEALTHCARE &amp; REHAB CENTER</t>
  </si>
  <si>
    <t>175397</t>
  </si>
  <si>
    <t>LIFE CARE CENTER OF BRIDGETON</t>
  </si>
  <si>
    <t>265345</t>
  </si>
  <si>
    <t>THE JEFFERSON</t>
  </si>
  <si>
    <t>495269</t>
  </si>
  <si>
    <t>RUSSELL REGIONAL HOSPITAL LTCU</t>
  </si>
  <si>
    <t>17E619</t>
  </si>
  <si>
    <t>LIFE CARE CENTER OF BROOKFIELD</t>
  </si>
  <si>
    <t>265405</t>
  </si>
  <si>
    <t>THE LAURELS OF BON AIR</t>
  </si>
  <si>
    <t>495394</t>
  </si>
  <si>
    <t>SABETHA MANOR</t>
  </si>
  <si>
    <t>175241</t>
  </si>
  <si>
    <t>LIFE CARE CENTER OF CAPE GIRARDEAU</t>
  </si>
  <si>
    <t>265185</t>
  </si>
  <si>
    <t>THE LAURELS OF CHARLOTTESVILLE</t>
  </si>
  <si>
    <t>495377</t>
  </si>
  <si>
    <t>SALEM HOME</t>
  </si>
  <si>
    <t>175484</t>
  </si>
  <si>
    <t>LIFE CARE CENTER OF CARROLLTON</t>
  </si>
  <si>
    <t>265294</t>
  </si>
  <si>
    <t>THE LAURELS OF UNIVERSITY PARK</t>
  </si>
  <si>
    <t>495109</t>
  </si>
  <si>
    <t>SALINA PRESBYTERIAN MANOR</t>
  </si>
  <si>
    <t>175300</t>
  </si>
  <si>
    <t>LIFE CARE CENTER OF FLORISSANT</t>
  </si>
  <si>
    <t>265838</t>
  </si>
  <si>
    <t>THE LAURELS OF WILLOW CREEK</t>
  </si>
  <si>
    <t>495257</t>
  </si>
  <si>
    <t>SANDPIPER HEALTHCARE &amp; REHABILITATION CENTER LLC</t>
  </si>
  <si>
    <t>175344</t>
  </si>
  <si>
    <t>LIFE CARE CENTER OF GRANDVIEW</t>
  </si>
  <si>
    <t>265355</t>
  </si>
  <si>
    <t>THE NEWPORT</t>
  </si>
  <si>
    <t>495368</t>
  </si>
  <si>
    <t>SANDSTONE HEIGHTS</t>
  </si>
  <si>
    <t>175509</t>
  </si>
  <si>
    <t>LIFE CARE CENTER OF ST LOUIS</t>
  </si>
  <si>
    <t>265610</t>
  </si>
  <si>
    <t>THE ORCHARD</t>
  </si>
  <si>
    <t>495364</t>
  </si>
  <si>
    <t>SATANTA DISTRICT HOSPITAL LTCU</t>
  </si>
  <si>
    <t>17E356</t>
  </si>
  <si>
    <t>LIFE CARE CENTER OF SULLIVAN</t>
  </si>
  <si>
    <t>265340</t>
  </si>
  <si>
    <t>THE REHAB CENTER AT BRISTOL</t>
  </si>
  <si>
    <t>495425</t>
  </si>
  <si>
    <t>SCHOWALTER VILLA</t>
  </si>
  <si>
    <t>175386</t>
  </si>
  <si>
    <t>LIFE CARE CENTER OF WAYNESVILLE</t>
  </si>
  <si>
    <t>265373</t>
  </si>
  <si>
    <t>THE SPRINGS NURSING CENTER</t>
  </si>
  <si>
    <t>495220</t>
  </si>
  <si>
    <t>SEVILLE OPERATOR, LLC</t>
  </si>
  <si>
    <t>175253</t>
  </si>
  <si>
    <t>LINCOLN COMMUNITY CARE CENTER</t>
  </si>
  <si>
    <t>265761</t>
  </si>
  <si>
    <t>THE VILLAGE AT ORCHARD RIDGE</t>
  </si>
  <si>
    <t>495415</t>
  </si>
  <si>
    <t>SHARON LANE HEALTH AND REHABILITATION</t>
  </si>
  <si>
    <t>175257</t>
  </si>
  <si>
    <t>LINCOLN COUNTY NURSING &amp; REHAB</t>
  </si>
  <si>
    <t>265433</t>
  </si>
  <si>
    <t>THE VIRGINIA HOME</t>
  </si>
  <si>
    <t>49E084</t>
  </si>
  <si>
    <t>SHAWNEE GARDENS HEALTHCARE &amp; REHAB CENTER</t>
  </si>
  <si>
    <t>175267</t>
  </si>
  <si>
    <t>LINDEN WOODS VILLAGE</t>
  </si>
  <si>
    <t>265855</t>
  </si>
  <si>
    <t>THE VIRGINIAN</t>
  </si>
  <si>
    <t>495319</t>
  </si>
  <si>
    <t>SHERIDAN COUNTY HOSPITAL LTCU</t>
  </si>
  <si>
    <t>17E424</t>
  </si>
  <si>
    <t>LINN OAK REHABILITATION CENTER</t>
  </si>
  <si>
    <t>265364</t>
  </si>
  <si>
    <t>THE WOODLANDS HEALTH AND REHAB CENTER</t>
  </si>
  <si>
    <t>495360</t>
  </si>
  <si>
    <t>SMITH CENTER OPERATOR, LLC</t>
  </si>
  <si>
    <t>175295</t>
  </si>
  <si>
    <t>LIVING CENTER, THE</t>
  </si>
  <si>
    <t>265688</t>
  </si>
  <si>
    <t>THE WYBE AND MARIETJE KROONTJE HEALTH CARE CENTER</t>
  </si>
  <si>
    <t>495406</t>
  </si>
  <si>
    <t>SMITH COUNTY MEMORIAL HOSPITAL LTCU</t>
  </si>
  <si>
    <t>17A019</t>
  </si>
  <si>
    <t>LIVING COMMUNITY OF ST JOSEPH</t>
  </si>
  <si>
    <t>265784</t>
  </si>
  <si>
    <t>TYLER'S RETREAT AT IRON BRIDGE</t>
  </si>
  <si>
    <t>495401</t>
  </si>
  <si>
    <t>SMOKY HILL REHABILITATION CENTER</t>
  </si>
  <si>
    <t>175185</t>
  </si>
  <si>
    <t>LIVINGSTON MANOR CARE CENTER</t>
  </si>
  <si>
    <t>265621</t>
  </si>
  <si>
    <t>VALLEY REHABILITATION AND NURSING CENTER</t>
  </si>
  <si>
    <t>495133</t>
  </si>
  <si>
    <t>SOLOMON VALLEY MANOR</t>
  </si>
  <si>
    <t>17E637</t>
  </si>
  <si>
    <t>LOCH HAVEN</t>
  </si>
  <si>
    <t>265200</t>
  </si>
  <si>
    <t>VIRGINIA BAPTIST HOSPITAL DIVISION - GUGGENHEIMER</t>
  </si>
  <si>
    <t>495112</t>
  </si>
  <si>
    <t>SOUTHWEST MEDICAL CENTER SNF</t>
  </si>
  <si>
    <t>175163</t>
  </si>
  <si>
    <t>LUTHER MANOR RETIREMENT &amp; NURSING CENTER</t>
  </si>
  <si>
    <t>265690</t>
  </si>
  <si>
    <t>VIRGINIA BEACH HEALTHCARE AND REHAB CENTER</t>
  </si>
  <si>
    <t>495237</t>
  </si>
  <si>
    <t>SPRING HILL OPERATOR  LLC</t>
  </si>
  <si>
    <t>175425</t>
  </si>
  <si>
    <t>LUTHERAN CONVALESCENT HOME</t>
  </si>
  <si>
    <t>265600</t>
  </si>
  <si>
    <t>VIRGINIA VETERANS CARE CENTER</t>
  </si>
  <si>
    <t>495274</t>
  </si>
  <si>
    <t>SPRING VIEW MANOR</t>
  </si>
  <si>
    <t>175504</t>
  </si>
  <si>
    <t>LUTHERAN HOME, THE</t>
  </si>
  <si>
    <t>265359</t>
  </si>
  <si>
    <t>VMRC, COMPLETE LIVING CARE</t>
  </si>
  <si>
    <t>495385</t>
  </si>
  <si>
    <t>ST LUKE LIVING CENTER</t>
  </si>
  <si>
    <t>17A029</t>
  </si>
  <si>
    <t>LUTHERAN NURSING HOME</t>
  </si>
  <si>
    <t>265765</t>
  </si>
  <si>
    <t>WADDELL NURSING AND REHAB CENTER</t>
  </si>
  <si>
    <t>495126</t>
  </si>
  <si>
    <t>STANTON COUNTY HEALTH CARE FACILITY LTCU</t>
  </si>
  <si>
    <t>17E445</t>
  </si>
  <si>
    <t>LUTHERAN SENIOR SERVICES AT BREEZE PARK</t>
  </si>
  <si>
    <t>265767</t>
  </si>
  <si>
    <t>WALTER REED CONVALESCENT AND REHABILITATION CENTER</t>
  </si>
  <si>
    <t>495276</t>
  </si>
  <si>
    <t>STERLING VILLAGE</t>
  </si>
  <si>
    <t>175299</t>
  </si>
  <si>
    <t>LUTHERAN SENIOR SERVICES AT MERAMEC BLUFFS</t>
  </si>
  <si>
    <t>265805</t>
  </si>
  <si>
    <t>WARREN MEMORIAL HOSP LYNN CARE</t>
  </si>
  <si>
    <t>495316</t>
  </si>
  <si>
    <t>STEVENS COUNTY HOSPITAL LTCU DBA PIONEER MANOR</t>
  </si>
  <si>
    <t>17E546</t>
  </si>
  <si>
    <t>MACON HEALTH CARE CENTER</t>
  </si>
  <si>
    <t>265163</t>
  </si>
  <si>
    <t>WATERSIDE HEALTH &amp; REHAB CENTER</t>
  </si>
  <si>
    <t>495173</t>
  </si>
  <si>
    <t>STONEYBROOK RETIREMENT COMMUNITY</t>
  </si>
  <si>
    <t>175191</t>
  </si>
  <si>
    <t>MADISON MEDICAL CENTER</t>
  </si>
  <si>
    <t>265561</t>
  </si>
  <si>
    <t>WAVERLY HEALTH AND REHABILITATION CENTER</t>
  </si>
  <si>
    <t>495185</t>
  </si>
  <si>
    <t>STRATFORD COMMONS REHAB &amp; HEALTH CARE CENTER</t>
  </si>
  <si>
    <t>175549</t>
  </si>
  <si>
    <t>MAGNOLIA SQUARE NURSING AND REHAB</t>
  </si>
  <si>
    <t>265731</t>
  </si>
  <si>
    <t>WAYLAND NURSING AND REHABILITATION CENTER</t>
  </si>
  <si>
    <t>495226</t>
  </si>
  <si>
    <t>SUMNER OPERATOR, LLC</t>
  </si>
  <si>
    <t>175357</t>
  </si>
  <si>
    <t>MALDEN NURSING &amp; REHAB</t>
  </si>
  <si>
    <t>265609</t>
  </si>
  <si>
    <t>WELLSPRINGS AT AMELIA</t>
  </si>
  <si>
    <t>495358</t>
  </si>
  <si>
    <t>SUNPORCH OF DODGE CITY</t>
  </si>
  <si>
    <t>175207</t>
  </si>
  <si>
    <t>MANOR AT ELFINDALE, THE</t>
  </si>
  <si>
    <t>265804</t>
  </si>
  <si>
    <t>WESTMINSTER AT LAKE RIDGE</t>
  </si>
  <si>
    <t>495280</t>
  </si>
  <si>
    <t>SUNPORCH OF SMITH COUNTY</t>
  </si>
  <si>
    <t>175565</t>
  </si>
  <si>
    <t>MANOR GROVE, INCORPORATED</t>
  </si>
  <si>
    <t>265833</t>
  </si>
  <si>
    <t>WESTMINSTER CANTERBURY BLUE RI</t>
  </si>
  <si>
    <t>495225</t>
  </si>
  <si>
    <t>SUNSET HOME INC</t>
  </si>
  <si>
    <t>175422</t>
  </si>
  <si>
    <t>MANOR, THE</t>
  </si>
  <si>
    <t>265442</t>
  </si>
  <si>
    <t>WESTMINSTER-CANTERBURY OF LYNCHBURG INC</t>
  </si>
  <si>
    <t>495120</t>
  </si>
  <si>
    <t>TALLGRASS CREEK, INC</t>
  </si>
  <si>
    <t>175541</t>
  </si>
  <si>
    <t>MAPLE GROVE LODGE</t>
  </si>
  <si>
    <t>265740</t>
  </si>
  <si>
    <t>WESTMINSTER-CANTERBURY OF RICHMOND</t>
  </si>
  <si>
    <t>495096</t>
  </si>
  <si>
    <t>TANGLEWOOD NURSING &amp; REHABILITATION</t>
  </si>
  <si>
    <t>175463</t>
  </si>
  <si>
    <t>MAPLE LAWN NURSING HOME</t>
  </si>
  <si>
    <t>265237</t>
  </si>
  <si>
    <t>WESTMINSTER-CANTERBURY ON CHESAPEAKE BAY</t>
  </si>
  <si>
    <t>495127</t>
  </si>
  <si>
    <t>THE CEDARS</t>
  </si>
  <si>
    <t>175380</t>
  </si>
  <si>
    <t>MAPLES HEALTH AND REHABILITATION, THE</t>
  </si>
  <si>
    <t>265559</t>
  </si>
  <si>
    <t>WESTMORELAND REHABILITATION &amp; HEALTHCARE CENTER</t>
  </si>
  <si>
    <t>495268</t>
  </si>
  <si>
    <t>THE CENTENNIAL HOMESTEAD</t>
  </si>
  <si>
    <t>175512</t>
  </si>
  <si>
    <t>MARANATHA VILLAGE, INC</t>
  </si>
  <si>
    <t>265475</t>
  </si>
  <si>
    <t>WESTPORT REHABILITATION AND NURSING CENTER</t>
  </si>
  <si>
    <t>495227</t>
  </si>
  <si>
    <t>THE FORUM AT OVERLAND PARK</t>
  </si>
  <si>
    <t>175189</t>
  </si>
  <si>
    <t>MARIES MANOR</t>
  </si>
  <si>
    <t>265249</t>
  </si>
  <si>
    <t>WESTWOOD CENTER</t>
  </si>
  <si>
    <t>495200</t>
  </si>
  <si>
    <t>THE HEALTHCARE RESORT OF KANSAS CITY</t>
  </si>
  <si>
    <t>175548</t>
  </si>
  <si>
    <t>MARK TWAIN CARING CENTER</t>
  </si>
  <si>
    <t>265450</t>
  </si>
  <si>
    <t>WINDSORMEADE OF WILLIAMSBURG</t>
  </si>
  <si>
    <t>495402</t>
  </si>
  <si>
    <t>THE HEALTHCARE RESORT OF LEAWOOD - IRON HORSE HLTH</t>
  </si>
  <si>
    <t>175558</t>
  </si>
  <si>
    <t>MARK TWAIN MANOR</t>
  </si>
  <si>
    <t>265236</t>
  </si>
  <si>
    <t>WONDER CITY REHABILITATION AND NURSING CENTER</t>
  </si>
  <si>
    <t>495123</t>
  </si>
  <si>
    <t>THE HEALTHCARE RESORT OF OLATHE</t>
  </si>
  <si>
    <t>175551</t>
  </si>
  <si>
    <t>MARSHFIELD CARE CENTER FOR REHAB AND HEALTHCARE</t>
  </si>
  <si>
    <t>265577</t>
  </si>
  <si>
    <t>WOODBINE REHABILITATION &amp; HEALTHCARE CENTER</t>
  </si>
  <si>
    <t>495019</t>
  </si>
  <si>
    <t>THE HEALTHCARE RESORT OF TOPEKA</t>
  </si>
  <si>
    <t>175555</t>
  </si>
  <si>
    <t>MARY, QUEEN AND MOTHER CENTER</t>
  </si>
  <si>
    <t>265159</t>
  </si>
  <si>
    <t>WOODHAVEN HALL AT WILLIAMSBURG LANDING</t>
  </si>
  <si>
    <t>495184</t>
  </si>
  <si>
    <t>THE HEALTHCARE RESORT OF WICHITA</t>
  </si>
  <si>
    <t>175563</t>
  </si>
  <si>
    <t>MARYMOUNT MANOR</t>
  </si>
  <si>
    <t>265140</t>
  </si>
  <si>
    <t>WOODMONT CENTER</t>
  </si>
  <si>
    <t>495246</t>
  </si>
  <si>
    <t>THE NICOL HOME</t>
  </si>
  <si>
    <t>175473</t>
  </si>
  <si>
    <t>MARYVILLE LIVING CENTER</t>
  </si>
  <si>
    <t>265354</t>
  </si>
  <si>
    <t>WYTHE CNTY COMMUNITY HOSP ECU</t>
  </si>
  <si>
    <t>495167</t>
  </si>
  <si>
    <t>THE PLAZA HEALTH SERVICES AT SANTA MARTA</t>
  </si>
  <si>
    <t>175503</t>
  </si>
  <si>
    <t>MASON POINTE CARE CENTER</t>
  </si>
  <si>
    <t>265071</t>
  </si>
  <si>
    <t>YORK CONVALESCENT AND REHABILITATION  CENTER</t>
  </si>
  <si>
    <t>495342</t>
  </si>
  <si>
    <t>THE SHEPHERD'S CENTER</t>
  </si>
  <si>
    <t>17E488</t>
  </si>
  <si>
    <t>MAYWOOD TERRACE LIVING CENTER</t>
  </si>
  <si>
    <t>265404</t>
  </si>
  <si>
    <t>THE WHEATLANDS HEALTH CARE CENTER</t>
  </si>
  <si>
    <t>175521</t>
  </si>
  <si>
    <t>MCCLAY SENIOR CARE</t>
  </si>
  <si>
    <t>265875</t>
  </si>
  <si>
    <t>TOPEKA CENTER FOR REHABILITATION AND HEALTHCARE</t>
  </si>
  <si>
    <t>175172</t>
  </si>
  <si>
    <t>MCCRITE PLAZA AT BRIARCLIFF SKILLED FACILITY</t>
  </si>
  <si>
    <t>265869</t>
  </si>
  <si>
    <t>TOPEKA PRESBYTERIAN MANOR</t>
  </si>
  <si>
    <t>175297</t>
  </si>
  <si>
    <t>MCDONALD COUNTY LIVING CENTER</t>
  </si>
  <si>
    <t>265447</t>
  </si>
  <si>
    <t>TOPSIDE MANOR INC</t>
  </si>
  <si>
    <t>175361</t>
  </si>
  <si>
    <t>MCKNIGHT PLACE EXTENDED CARE</t>
  </si>
  <si>
    <t>265849</t>
  </si>
  <si>
    <t>TREGO CO-LEMKE MEMORIAL HOSPITAL LTCU</t>
  </si>
  <si>
    <t>17A020</t>
  </si>
  <si>
    <t>MCLARNEY MANOR</t>
  </si>
  <si>
    <t>265644</t>
  </si>
  <si>
    <t>TRINITY MANOR</t>
  </si>
  <si>
    <t>175377</t>
  </si>
  <si>
    <t>MEADOW VIEW OF HARRISONVILLE HEALTH &amp; REHAB</t>
  </si>
  <si>
    <t>265362</t>
  </si>
  <si>
    <t>TWIN OAKS HEALTH AND REHAB</t>
  </si>
  <si>
    <t>175533</t>
  </si>
  <si>
    <t>MEDICALODGES BUTLER</t>
  </si>
  <si>
    <t>265564</t>
  </si>
  <si>
    <t>VALLEY HEALTH CARE CENTER</t>
  </si>
  <si>
    <t>17E591</t>
  </si>
  <si>
    <t>MEDICALODGES NEOSHO</t>
  </si>
  <si>
    <t>265266</t>
  </si>
  <si>
    <t>VALLEY VIEW SENIOR LIFE</t>
  </si>
  <si>
    <t>175126</t>
  </si>
  <si>
    <t>MEDICALODGES NEVADA</t>
  </si>
  <si>
    <t>265493</t>
  </si>
  <si>
    <t>VIA CHRISTI VILLAGE - HAYS INC</t>
  </si>
  <si>
    <t>175498</t>
  </si>
  <si>
    <t>MERAMEC NURSING CENTER</t>
  </si>
  <si>
    <t>265554</t>
  </si>
  <si>
    <t>VIA CHRISTI VILLAGE MANHATTAN, INC</t>
  </si>
  <si>
    <t>175100</t>
  </si>
  <si>
    <t>MEYER CARE CENTER</t>
  </si>
  <si>
    <t>265667</t>
  </si>
  <si>
    <t>VIA CHRISTI VILLAGE MCLEAN, INC</t>
  </si>
  <si>
    <t>175543</t>
  </si>
  <si>
    <t>MILAN HEALTH CARE CENTER</t>
  </si>
  <si>
    <t>265238</t>
  </si>
  <si>
    <t>VIA CHRISTI VILLAGE PITTSBURG INC</t>
  </si>
  <si>
    <t>175465</t>
  </si>
  <si>
    <t>MILLER COUNTY CARE AND REHABILITATION CENTER</t>
  </si>
  <si>
    <t>265713</t>
  </si>
  <si>
    <t>VIA CHRISTI VILLAGE RIDGE</t>
  </si>
  <si>
    <t>175539</t>
  </si>
  <si>
    <t>MINER NURSING CENTER</t>
  </si>
  <si>
    <t>265548</t>
  </si>
  <si>
    <t>VICTORIA FALLS</t>
  </si>
  <si>
    <t>175520</t>
  </si>
  <si>
    <t>MOBERLY NURSING &amp; REHAB</t>
  </si>
  <si>
    <t>265407</t>
  </si>
  <si>
    <t>VILLA MARIA</t>
  </si>
  <si>
    <t>175456</t>
  </si>
  <si>
    <t>MONITEAU CARE CENTER</t>
  </si>
  <si>
    <t>265648</t>
  </si>
  <si>
    <t>VILLA ST FRANCIS CATHOLIC CARE CENTER INC</t>
  </si>
  <si>
    <t>175115</t>
  </si>
  <si>
    <t>MONROE CITY MANOR CARE CENTER</t>
  </si>
  <si>
    <t>265574</t>
  </si>
  <si>
    <t>VILLA ST JOSEPH</t>
  </si>
  <si>
    <t>175183</t>
  </si>
  <si>
    <t>MONROE MANOR</t>
  </si>
  <si>
    <t>265590</t>
  </si>
  <si>
    <t>VILLAGE SHALOM INC</t>
  </si>
  <si>
    <t>175441</t>
  </si>
  <si>
    <t>MONTEREY PARK REHABILITATION &amp; HEALTH CARE CENTER</t>
  </si>
  <si>
    <t>265579</t>
  </si>
  <si>
    <t>VILLAGE VILLA</t>
  </si>
  <si>
    <t>175323</t>
  </si>
  <si>
    <t>MONTICELLO HOUSE</t>
  </si>
  <si>
    <t>265716</t>
  </si>
  <si>
    <t>WAKEFIELD OPERATOR  LLC</t>
  </si>
  <si>
    <t>175272</t>
  </si>
  <si>
    <t>MOORE-FEW CARE CENTER</t>
  </si>
  <si>
    <t>265110</t>
  </si>
  <si>
    <t>WALLACE COUNTY COMMUNITY CARE CENTER, INC</t>
  </si>
  <si>
    <t>175524</t>
  </si>
  <si>
    <t>MORNINGSIDE CENTER</t>
  </si>
  <si>
    <t>265813</t>
  </si>
  <si>
    <t>WATHENA HEALTHCARE &amp; REHABILITATION CENTER</t>
  </si>
  <si>
    <t>175216</t>
  </si>
  <si>
    <t>MOUNT CARMEL SENIOR LIVING - ST CHARLES, LLC</t>
  </si>
  <si>
    <t>265783</t>
  </si>
  <si>
    <t>WELLINGTON OPERATOR LLC</t>
  </si>
  <si>
    <t>175337</t>
  </si>
  <si>
    <t>MOUNTAIN VIEW HEALTHCARE</t>
  </si>
  <si>
    <t>265412</t>
  </si>
  <si>
    <t>WELLSVILLE MANOR</t>
  </si>
  <si>
    <t>175250</t>
  </si>
  <si>
    <t>MT VERNON PLACE CARE CENTER, INC</t>
  </si>
  <si>
    <t>265452</t>
  </si>
  <si>
    <t>WESLEY TOWERS INC</t>
  </si>
  <si>
    <t>175383</t>
  </si>
  <si>
    <t>MYERS NURSING &amp; CONVALESCENT CENTER</t>
  </si>
  <si>
    <t>26E084</t>
  </si>
  <si>
    <t>WESTCHESTER VILLAGE OF LENEXA</t>
  </si>
  <si>
    <t>175536</t>
  </si>
  <si>
    <t>NAZARETH LIVING CENTER</t>
  </si>
  <si>
    <t>265636</t>
  </si>
  <si>
    <t>WESTERN PRAIRIE SENIOR LIVING LLC</t>
  </si>
  <si>
    <t>175559</t>
  </si>
  <si>
    <t>NEIGHBORHOODS AT QUAIL CREEK, THE</t>
  </si>
  <si>
    <t>265799</t>
  </si>
  <si>
    <t>WESTVIEW OF DERBY</t>
  </si>
  <si>
    <t>175218</t>
  </si>
  <si>
    <t>NEIGHBORHOODS REHAB &amp; SKILLED NURSING BY TIGERPLAC</t>
  </si>
  <si>
    <t>265840</t>
  </si>
  <si>
    <t>WESTY COMMUNITY CARE HOME</t>
  </si>
  <si>
    <t>175471</t>
  </si>
  <si>
    <t>NEVADA NURSING &amp; REHAB</t>
  </si>
  <si>
    <t>265558</t>
  </si>
  <si>
    <t>WHEAT STATE MANOR</t>
  </si>
  <si>
    <t>175451</t>
  </si>
  <si>
    <t>NEW HAVEN CARE CENTER</t>
  </si>
  <si>
    <t>265415</t>
  </si>
  <si>
    <t>WHEATLAND NURSING &amp; REHABILITATION CENTER</t>
  </si>
  <si>
    <t>175286</t>
  </si>
  <si>
    <t>NEW HAVEN LIVING CENTER</t>
  </si>
  <si>
    <t>265501</t>
  </si>
  <si>
    <t>WHEATRIDGE PARK CARE CENTER</t>
  </si>
  <si>
    <t>175459</t>
  </si>
  <si>
    <t>NEW MADRID LIVING CENTER</t>
  </si>
  <si>
    <t>265209</t>
  </si>
  <si>
    <t>WICHITA CENTER FOR REHABILITATION &amp; HEALTHCARE</t>
  </si>
  <si>
    <t>175168</t>
  </si>
  <si>
    <t>NEW MARK CARE CENTER</t>
  </si>
  <si>
    <t>265308</t>
  </si>
  <si>
    <t>WICHITA COUNTY HEALTH CENTER LTCU</t>
  </si>
  <si>
    <t>17E011</t>
  </si>
  <si>
    <t>NHC HEALTHCARE, DESLOGE</t>
  </si>
  <si>
    <t>265158</t>
  </si>
  <si>
    <t>WICHITA OPERATOR LLC</t>
  </si>
  <si>
    <t>175273</t>
  </si>
  <si>
    <t>NHC HEALTHCARE, JOPLIN</t>
  </si>
  <si>
    <t>265175</t>
  </si>
  <si>
    <t>WICHITA PRESBYTERIAN MANOR</t>
  </si>
  <si>
    <t>175301</t>
  </si>
  <si>
    <t>NHC HEALTHCARE, KENNETT</t>
  </si>
  <si>
    <t>265168</t>
  </si>
  <si>
    <t>WILSON OPERATOR LLC</t>
  </si>
  <si>
    <t>175205</t>
  </si>
  <si>
    <t>NHC HEALTHCARE, MARYLAND HEIGHTS</t>
  </si>
  <si>
    <t>265318</t>
  </si>
  <si>
    <t>WINDSOR PLACE AT IOLA LLC</t>
  </si>
  <si>
    <t>175226</t>
  </si>
  <si>
    <t>NHC HEALTHCARE, ST CHARLES</t>
  </si>
  <si>
    <t>265166</t>
  </si>
  <si>
    <t>WINDSOR PLACE LLC</t>
  </si>
  <si>
    <t>175290</t>
  </si>
  <si>
    <t>NHC HEALTHCARE, TOWN &amp; COUNTRY</t>
  </si>
  <si>
    <t>265001</t>
  </si>
  <si>
    <t>WINFIELD REST HAVEN II, LLC</t>
  </si>
  <si>
    <t>175488</t>
  </si>
  <si>
    <t>NHC HEALTHCARE, WEST PLAINS</t>
  </si>
  <si>
    <t>265155</t>
  </si>
  <si>
    <t>WINFIELD SENIOR LIVING COMMUNITY</t>
  </si>
  <si>
    <t>175327</t>
  </si>
  <si>
    <t>NICK'S HEALTH CARE CENTER, LLC</t>
  </si>
  <si>
    <t>265698</t>
  </si>
  <si>
    <t>YATES OPERATOR, LLC</t>
  </si>
  <si>
    <t>175389</t>
  </si>
  <si>
    <t>NIXA NURSING &amp; REHAB</t>
  </si>
  <si>
    <t>265322</t>
  </si>
  <si>
    <t>NODAWAY NURSING HOME</t>
  </si>
  <si>
    <t>265836</t>
  </si>
  <si>
    <t>NORMANDY NURSING CENTER</t>
  </si>
  <si>
    <t>265578</t>
  </si>
  <si>
    <t>NORTERRE</t>
  </si>
  <si>
    <t>265867</t>
  </si>
  <si>
    <t>NORTH VILLAGE PARK</t>
  </si>
  <si>
    <t>265330</t>
  </si>
  <si>
    <t>NORTHLAND REHABILITATION &amp; HEALTH CARE CENTER</t>
  </si>
  <si>
    <t>265870</t>
  </si>
  <si>
    <t>NORTHVIEW VILLAGE</t>
  </si>
  <si>
    <t>265524</t>
  </si>
  <si>
    <t>NORTHWOOD HILLS CARE CENTER</t>
  </si>
  <si>
    <t>265381</t>
  </si>
  <si>
    <t>OAK GROVE NURSING &amp; REHAB</t>
  </si>
  <si>
    <t>265710</t>
  </si>
  <si>
    <t>OAK KNOLL SKILLED NURSING &amp; REHABILITATION CENTER</t>
  </si>
  <si>
    <t>265680</t>
  </si>
  <si>
    <t>OAK PARK CARE CENTER</t>
  </si>
  <si>
    <t>265427</t>
  </si>
  <si>
    <t>OAK TREE VILLAS-A STONEBRIDGE COMMUNITY</t>
  </si>
  <si>
    <t>265819</t>
  </si>
  <si>
    <t>OAKDALE CARE CENTER</t>
  </si>
  <si>
    <t>265556</t>
  </si>
  <si>
    <t>OAKRIDGE OF PLATTSBURG</t>
  </si>
  <si>
    <t>265742</t>
  </si>
  <si>
    <t>OAKWOOD ESTATES NURSING &amp; REHAB</t>
  </si>
  <si>
    <t>265719</t>
  </si>
  <si>
    <t>OREGON CARE CENTER</t>
  </si>
  <si>
    <t>265629</t>
  </si>
  <si>
    <t>OSAGE BEACH REHABILITATION AND HEALTH CARE CENTER</t>
  </si>
  <si>
    <t>265171</t>
  </si>
  <si>
    <t>OZARK MOUNTAIN REGIONAL HEALTHCARE CENTER</t>
  </si>
  <si>
    <t>265230</t>
  </si>
  <si>
    <t>OZARK NURSING AND CARE CENTER</t>
  </si>
  <si>
    <t>265753</t>
  </si>
  <si>
    <t>OZARK REHABILITATION &amp; HEALTH CARE CENTER</t>
  </si>
  <si>
    <t>265178</t>
  </si>
  <si>
    <t>OZARK RIVERVIEW MANOR</t>
  </si>
  <si>
    <t>265464</t>
  </si>
  <si>
    <t>OZARKS METHODIST MANOR, THE</t>
  </si>
  <si>
    <t>265594</t>
  </si>
  <si>
    <t>PACIFIC CARE CENTER</t>
  </si>
  <si>
    <t>265337</t>
  </si>
  <si>
    <t>PARKDALE MANOR CARE CENTER</t>
  </si>
  <si>
    <t>265591</t>
  </si>
  <si>
    <t>PARKLANE CARE AND REHABILITATION CENTER</t>
  </si>
  <si>
    <t>265319</t>
  </si>
  <si>
    <t>PARKSIDE MANOR</t>
  </si>
  <si>
    <t>265302</t>
  </si>
  <si>
    <t>PARKVIEW HEALTH CARE FACILITY</t>
  </si>
  <si>
    <t>265519</t>
  </si>
  <si>
    <t>PARKVIEW HEALTHCARE</t>
  </si>
  <si>
    <t>265463</t>
  </si>
  <si>
    <t>PARKWAY HEALTH CARE CENTER</t>
  </si>
  <si>
    <t>265532</t>
  </si>
  <si>
    <t>PARKWOOD SKILLED NURSING AND REHABILITATION CENTER</t>
  </si>
  <si>
    <t>265523</t>
  </si>
  <si>
    <t>PAUL L &amp; MARTHA BARONE CARE CENTER</t>
  </si>
  <si>
    <t>26A269</t>
  </si>
  <si>
    <t>PEARL'S II EDEN FOR ELDERS</t>
  </si>
  <si>
    <t>265796</t>
  </si>
  <si>
    <t>PEMISCOT COUNTY MEMORIAL HOSPITAL</t>
  </si>
  <si>
    <t>26A469</t>
  </si>
  <si>
    <t>PHELPS HEALTH</t>
  </si>
  <si>
    <t>265327</t>
  </si>
  <si>
    <t>PILLARS OF NORTH COUNTY HEALTH &amp; REHAB CENTER, THE</t>
  </si>
  <si>
    <t>265341</t>
  </si>
  <si>
    <t>PIN OAKS LIVING CENTER</t>
  </si>
  <si>
    <t>265481</t>
  </si>
  <si>
    <t>PINE VIEW MANOR INC</t>
  </si>
  <si>
    <t>265506</t>
  </si>
  <si>
    <t>PIONEER SKILLED NURSING CENTER</t>
  </si>
  <si>
    <t>265169</t>
  </si>
  <si>
    <t>PLEASANT HILL HEALTH AND REHABILITATION CENTER</t>
  </si>
  <si>
    <t>265565</t>
  </si>
  <si>
    <t>PLEASANT VALLEY MANOR CARE CENTER</t>
  </si>
  <si>
    <t>265679</t>
  </si>
  <si>
    <t>PLEASANT VIEW</t>
  </si>
  <si>
    <t>265744</t>
  </si>
  <si>
    <t>POINT LOOKOUT NURSING &amp; REHAB</t>
  </si>
  <si>
    <t>265411</t>
  </si>
  <si>
    <t>PORTAGEVILLE HEALTH CARE CENTER</t>
  </si>
  <si>
    <t>265549</t>
  </si>
  <si>
    <t>POTOSI MANOR, INC</t>
  </si>
  <si>
    <t>265681</t>
  </si>
  <si>
    <t>PUTNAM COUNTY CARE CENTER</t>
  </si>
  <si>
    <t>265826</t>
  </si>
  <si>
    <t>PUXICO NURSING AND REHABILITATION CENTER</t>
  </si>
  <si>
    <t>265496</t>
  </si>
  <si>
    <t>QUAIL RUN HEALTH CARE CENTER</t>
  </si>
  <si>
    <t>265353</t>
  </si>
  <si>
    <t>QUARTERS AT DES PERES, THE</t>
  </si>
  <si>
    <t>265834</t>
  </si>
  <si>
    <t>RANCHO MANOR HEALTHCARE AND REHABILITATION CENTER</t>
  </si>
  <si>
    <t>265402</t>
  </si>
  <si>
    <t>RATLIFF CARE CENTER</t>
  </si>
  <si>
    <t>265747</t>
  </si>
  <si>
    <t>REDWOOD OF BLUE RIVER</t>
  </si>
  <si>
    <t>265597</t>
  </si>
  <si>
    <t>REDWOOD OF CAMERON</t>
  </si>
  <si>
    <t>265633</t>
  </si>
  <si>
    <t>REDWOOD OF CARMEL HILLS</t>
  </si>
  <si>
    <t>265727</t>
  </si>
  <si>
    <t>REDWOOD OF INDEPENDENCE</t>
  </si>
  <si>
    <t>265693</t>
  </si>
  <si>
    <t>REDWOOD OF KANSAS CITY SOUTH</t>
  </si>
  <si>
    <t>265758</t>
  </si>
  <si>
    <t>REDWOOD OF RAYMORE</t>
  </si>
  <si>
    <t>265476</t>
  </si>
  <si>
    <t>REPUBLIC NURSING &amp; REHAB</t>
  </si>
  <si>
    <t>265326</t>
  </si>
  <si>
    <t>REST HAVEN CONVALESCENT AND RETIREMENT HOME</t>
  </si>
  <si>
    <t>265854</t>
  </si>
  <si>
    <t>RICHLAND CARE CENTER INC</t>
  </si>
  <si>
    <t>265755</t>
  </si>
  <si>
    <t>RIDGE CREST NURSING CENTER</t>
  </si>
  <si>
    <t>265797</t>
  </si>
  <si>
    <t>RIDGEVIEW LIVING COMMUNITY</t>
  </si>
  <si>
    <t>265384</t>
  </si>
  <si>
    <t>RIVER CITY LIVING COMMUNITY</t>
  </si>
  <si>
    <t>265482</t>
  </si>
  <si>
    <t>RIVER OAKS CARE CENTER</t>
  </si>
  <si>
    <t>265210</t>
  </si>
  <si>
    <t>RIVERBEND HEIGHTS HEALTH &amp; REHABILITATION</t>
  </si>
  <si>
    <t>265358</t>
  </si>
  <si>
    <t>RIVERDELL CARE CENTER</t>
  </si>
  <si>
    <t>265361</t>
  </si>
  <si>
    <t>RIVERSIDE NURSING &amp; REHABILITATION CENTER, LLC</t>
  </si>
  <si>
    <t>265379</t>
  </si>
  <si>
    <t>RIVERSIDE PLACE</t>
  </si>
  <si>
    <t>265827</t>
  </si>
  <si>
    <t>RIVERVIEW AT THE PARK CARE AND REHABILITATION CTR</t>
  </si>
  <si>
    <t>265743</t>
  </si>
  <si>
    <t>RIVERVIEW NURSING CENTER</t>
  </si>
  <si>
    <t>265434</t>
  </si>
  <si>
    <t>RIVERVIEW, THE</t>
  </si>
  <si>
    <t>265751</t>
  </si>
  <si>
    <t>RIVERWAYS MANOR</t>
  </si>
  <si>
    <t>265363</t>
  </si>
  <si>
    <t>ROARING RIVER HEALTH AND REHABILITATION</t>
  </si>
  <si>
    <t>265538</t>
  </si>
  <si>
    <t>ROCKY RIDGE MANOR</t>
  </si>
  <si>
    <t>265494</t>
  </si>
  <si>
    <t>ROLLA HEALTH &amp; REHABILITATION SUITES</t>
  </si>
  <si>
    <t>265844</t>
  </si>
  <si>
    <t>ROLLA PRESBYTERIAN MANOR</t>
  </si>
  <si>
    <t>265580</t>
  </si>
  <si>
    <t>ROSEWOOD HEALTH AND REHAB CENTER</t>
  </si>
  <si>
    <t>265786</t>
  </si>
  <si>
    <t>ROYAL OAK NURSING &amp; REHAB</t>
  </si>
  <si>
    <t>265378</t>
  </si>
  <si>
    <t>SALEM CARE CENTER</t>
  </si>
  <si>
    <t>26A206</t>
  </si>
  <si>
    <t>SALEM MEMORIAL DISTRICT HOSPITAL</t>
  </si>
  <si>
    <t>26A381</t>
  </si>
  <si>
    <t>SALT RIVER COMMUNITY CARE</t>
  </si>
  <si>
    <t>265694</t>
  </si>
  <si>
    <t>SARCOXIE NURSING CENTER</t>
  </si>
  <si>
    <t>265649</t>
  </si>
  <si>
    <t>SCENIC NURSING AND REHABILITATION CENTER, LLC</t>
  </si>
  <si>
    <t>265216</t>
  </si>
  <si>
    <t>SCHUYLER COUNTY NURSING HOME</t>
  </si>
  <si>
    <t>265816</t>
  </si>
  <si>
    <t>SCOTLAND COUNTY CARE CENTER</t>
  </si>
  <si>
    <t>265788</t>
  </si>
  <si>
    <t>SEASONS CARE CENTER</t>
  </si>
  <si>
    <t>265850</t>
  </si>
  <si>
    <t>SENATH HEALTH CARE CENTER</t>
  </si>
  <si>
    <t>265388</t>
  </si>
  <si>
    <t>SENATH SOUTH HEALTH CARE CENTER</t>
  </si>
  <si>
    <t>265832</t>
  </si>
  <si>
    <t>SENECA HOUSE</t>
  </si>
  <si>
    <t>265491</t>
  </si>
  <si>
    <t>SEVILLE CARE CENTER</t>
  </si>
  <si>
    <t>265521</t>
  </si>
  <si>
    <t>SHADY LAWN LIVING CENTER</t>
  </si>
  <si>
    <t>265846</t>
  </si>
  <si>
    <t>SHADY OAKS HEALTHCARE CENTER</t>
  </si>
  <si>
    <t>265246</t>
  </si>
  <si>
    <t>SHANGRI LA REHAB &amp; LIVING CENTER</t>
  </si>
  <si>
    <t>265595</t>
  </si>
  <si>
    <t>SHEPHERD OF THE HILLS LIVING CENTER</t>
  </si>
  <si>
    <t>265393</t>
  </si>
  <si>
    <t>SHIRKEY NURSING AND REHABILITATION CENTER</t>
  </si>
  <si>
    <t>265708</t>
  </si>
  <si>
    <t>SIKESTON CONVALESCENT CENTER</t>
  </si>
  <si>
    <t>265479</t>
  </si>
  <si>
    <t>SILEX COMMUNITY CARE</t>
  </si>
  <si>
    <t>265611</t>
  </si>
  <si>
    <t>SILVERSTONE PLACE</t>
  </si>
  <si>
    <t>265851</t>
  </si>
  <si>
    <t>SISTERS MISSION</t>
  </si>
  <si>
    <t>265879</t>
  </si>
  <si>
    <t>SMITHVILLE LIVING CENTER</t>
  </si>
  <si>
    <t>265454</t>
  </si>
  <si>
    <t>SONSHINE MANOR</t>
  </si>
  <si>
    <t>265847</t>
  </si>
  <si>
    <t>SOUTH COUNTY NURSING HOME INC</t>
  </si>
  <si>
    <t>265509</t>
  </si>
  <si>
    <t>SOUTH HAMPTON PLACE</t>
  </si>
  <si>
    <t>265618</t>
  </si>
  <si>
    <t>SOUTHBROOK-SKILLED NURSING BY AMERICARE</t>
  </si>
  <si>
    <t>265389</t>
  </si>
  <si>
    <t>SOUTHGATE LIVING CENTER</t>
  </si>
  <si>
    <t>265771</t>
  </si>
  <si>
    <t>SPRING RIVER CHRISTIAN VILLAGE INC</t>
  </si>
  <si>
    <t>265617</t>
  </si>
  <si>
    <t>SPRING VALLEY HEALTH &amp; REHABILITATION CENTER</t>
  </si>
  <si>
    <t>265188</t>
  </si>
  <si>
    <t>SPRINGFIELD REHABILITATION &amp; HEALTH CARE CENTER</t>
  </si>
  <si>
    <t>265157</t>
  </si>
  <si>
    <t>SPRINGFIELD SKILLED CARE CENTER</t>
  </si>
  <si>
    <t>265477</t>
  </si>
  <si>
    <t>SPRINGFIELD VILLA</t>
  </si>
  <si>
    <t>265814</t>
  </si>
  <si>
    <t>SSM HEALTH DEPAUL HOSPITAL - ANNA HOUSE</t>
  </si>
  <si>
    <t>265842</t>
  </si>
  <si>
    <t>ST ANDREW'S AT FRANCIS PLACE</t>
  </si>
  <si>
    <t>265195</t>
  </si>
  <si>
    <t>ST ANDREW'S AT NEW FLORENCE</t>
  </si>
  <si>
    <t>265625</t>
  </si>
  <si>
    <t>ST CLAIR NURSING CENTER</t>
  </si>
  <si>
    <t>265495</t>
  </si>
  <si>
    <t>ST ELIZABETH CARE CENTER</t>
  </si>
  <si>
    <t>265676</t>
  </si>
  <si>
    <t>ST FRANCOIS MANOR</t>
  </si>
  <si>
    <t>265674</t>
  </si>
  <si>
    <t>ST GENEVIEVE CARE CENTER INC</t>
  </si>
  <si>
    <t>265489</t>
  </si>
  <si>
    <t>ST JAMES LIVING CENTER</t>
  </si>
  <si>
    <t>265225</t>
  </si>
  <si>
    <t>ST JOE MANOR</t>
  </si>
  <si>
    <t>265701</t>
  </si>
  <si>
    <t>ST JOHNS PLACE</t>
  </si>
  <si>
    <t>265733</t>
  </si>
  <si>
    <t>ST JOSEPH CHATEAU</t>
  </si>
  <si>
    <t>265852</t>
  </si>
  <si>
    <t>ST JOSEPH SENIOR LIVING</t>
  </si>
  <si>
    <t>265762</t>
  </si>
  <si>
    <t>ST JOSEPH'S BLUFFS</t>
  </si>
  <si>
    <t>265837</t>
  </si>
  <si>
    <t>ST LOUIS ALTENHEIM</t>
  </si>
  <si>
    <t>26A484</t>
  </si>
  <si>
    <t>ST LOUIS PLACE HEALTH &amp; REHABILITATION</t>
  </si>
  <si>
    <t>265586</t>
  </si>
  <si>
    <t>ST LUKE'S NURSING CENTER INC</t>
  </si>
  <si>
    <t>265661</t>
  </si>
  <si>
    <t>ST MARYS MANOR</t>
  </si>
  <si>
    <t>265759</t>
  </si>
  <si>
    <t>ST PETERS MANOR CARE CENTER</t>
  </si>
  <si>
    <t>265589</t>
  </si>
  <si>
    <t>ST SOPHIA HEALTH &amp; REHABILITATION CENTER</t>
  </si>
  <si>
    <t>265120</t>
  </si>
  <si>
    <t>STEELVILLE SENIOR LIVING</t>
  </si>
  <si>
    <t>265866</t>
  </si>
  <si>
    <t>STONEBRIDGE MARYLAND HEIGHTS</t>
  </si>
  <si>
    <t>265486</t>
  </si>
  <si>
    <t>STONECREST HEALTHCARE</t>
  </si>
  <si>
    <t>265582</t>
  </si>
  <si>
    <t>STRAFFORD CARE CENTER</t>
  </si>
  <si>
    <t>265656</t>
  </si>
  <si>
    <t>SUMMIT, THE</t>
  </si>
  <si>
    <t>265769</t>
  </si>
  <si>
    <t>SUNNYVIEW NURSING HOME &amp; APARTMENTS</t>
  </si>
  <si>
    <t>265715</t>
  </si>
  <si>
    <t>SUNSET HEALTH CARE CENTER</t>
  </si>
  <si>
    <t>265390</t>
  </si>
  <si>
    <t>SUNSET HOME</t>
  </si>
  <si>
    <t>265745</t>
  </si>
  <si>
    <t>SUNTERRA SPRINGS INDEPENDENCE</t>
  </si>
  <si>
    <t>265864</t>
  </si>
  <si>
    <t>SUNTERRA SPRINGS SPRINGFIELD</t>
  </si>
  <si>
    <t>265871</t>
  </si>
  <si>
    <t>SURREY PLACE ST LUKES HOSP SKILLED NURSING</t>
  </si>
  <si>
    <t>265414</t>
  </si>
  <si>
    <t>SWEET SPRINGS VILLA</t>
  </si>
  <si>
    <t>265606</t>
  </si>
  <si>
    <t>SWOPE RIDGE GERIATRIC CENTER</t>
  </si>
  <si>
    <t>265145</t>
  </si>
  <si>
    <t>SYLVIA G THOMPSON RESIDENCE CENTER, INC</t>
  </si>
  <si>
    <t>26A378</t>
  </si>
  <si>
    <t>TABLEROCK HEALTHCARE</t>
  </si>
  <si>
    <t>265288</t>
  </si>
  <si>
    <t>TARKIO REHABILITATION &amp; HEALTH CARE</t>
  </si>
  <si>
    <t>265537</t>
  </si>
  <si>
    <t>TIFFANY HEIGHTS</t>
  </si>
  <si>
    <t>265746</t>
  </si>
  <si>
    <t>TIFFANY SPRINGS REHABILITATION &amp; HEALTH CARE CENTE</t>
  </si>
  <si>
    <t>265863</t>
  </si>
  <si>
    <t>TIMBERLAKE CARE CENTER</t>
  </si>
  <si>
    <t>265637</t>
  </si>
  <si>
    <t>TIPTON OAK MANOR</t>
  </si>
  <si>
    <t>265748</t>
  </si>
  <si>
    <t>TRI-COUNTY CARE CENTER</t>
  </si>
  <si>
    <t>265638</t>
  </si>
  <si>
    <t>TROY MANOR</t>
  </si>
  <si>
    <t>265702</t>
  </si>
  <si>
    <t>TRUMAN GARDENS</t>
  </si>
  <si>
    <t>265456</t>
  </si>
  <si>
    <t>TRUMAN HEALTHCARE &amp; REHABILITATION CENTER</t>
  </si>
  <si>
    <t>265253</t>
  </si>
  <si>
    <t>TRUMAN LAKE MANOR INC</t>
  </si>
  <si>
    <t>265431</t>
  </si>
  <si>
    <t>TRUMAN MEDICAL CENTER LAKEWOOD CARE CENTER</t>
  </si>
  <si>
    <t>265845</t>
  </si>
  <si>
    <t>TWIN PINES ADULT CARE CENTER</t>
  </si>
  <si>
    <t>265198</t>
  </si>
  <si>
    <t>U-CITY FOREST MANOR</t>
  </si>
  <si>
    <t>265736</t>
  </si>
  <si>
    <t>UNION CARE CENTER</t>
  </si>
  <si>
    <t>265873</t>
  </si>
  <si>
    <t>VALLEY MANOR AND REHABILITATION CENTER</t>
  </si>
  <si>
    <t>265356</t>
  </si>
  <si>
    <t>VALLEY VIEW HEALTH &amp; REHABILITATION</t>
  </si>
  <si>
    <t>265536</t>
  </si>
  <si>
    <t>VALLEY-A STONEBRIDGE COMMUNITY, THE</t>
  </si>
  <si>
    <t>265365</t>
  </si>
  <si>
    <t>VILLA AT BLUE RIDGE, THE</t>
  </si>
  <si>
    <t>265251</t>
  </si>
  <si>
    <t>VILLA MARIE-A STONEBRIDGE COMMUNITY</t>
  </si>
  <si>
    <t>265208</t>
  </si>
  <si>
    <t>VILLAGE CARE CENTER INC</t>
  </si>
  <si>
    <t>265643</t>
  </si>
  <si>
    <t>VILLAGES OF JACKSON CREEK, THE</t>
  </si>
  <si>
    <t>265820</t>
  </si>
  <si>
    <t>VILLAGES OF ST PETERS, THE</t>
  </si>
  <si>
    <t>265824</t>
  </si>
  <si>
    <t>VILLAS-A STONEBRIDGE COMMUNITY, THE</t>
  </si>
  <si>
    <t>265772</t>
  </si>
  <si>
    <t>WARRENSBURG MANOR CARE CENTER</t>
  </si>
  <si>
    <t>265669</t>
  </si>
  <si>
    <t>WARRENTON MANOR</t>
  </si>
  <si>
    <t>265181</t>
  </si>
  <si>
    <t>WARSAW HEALTH AND REHABILITATION CENTER</t>
  </si>
  <si>
    <t>265566</t>
  </si>
  <si>
    <t>WEBB CITY HEALTH AND REHABILITATION CENTER</t>
  </si>
  <si>
    <t>265307</t>
  </si>
  <si>
    <t>WEBCO MANOR</t>
  </si>
  <si>
    <t>265520</t>
  </si>
  <si>
    <t>WEST COUNTY CARE CENTER</t>
  </si>
  <si>
    <t>265352</t>
  </si>
  <si>
    <t>WEST VUE NURSING AND REHABILITATION CENTER</t>
  </si>
  <si>
    <t>265164</t>
  </si>
  <si>
    <t>WESTCHESTER HOUSE, THE</t>
  </si>
  <si>
    <t>265338</t>
  </si>
  <si>
    <t>WESTFIELD NURSING CENTER, INC</t>
  </si>
  <si>
    <t>265557</t>
  </si>
  <si>
    <t>WESTGATE</t>
  </si>
  <si>
    <t>265877</t>
  </si>
  <si>
    <t>WESTPHALIA HILLS-A STONEBRIDGE COMMUNITY</t>
  </si>
  <si>
    <t>265777</t>
  </si>
  <si>
    <t>WESTVIEW NURSING HOME</t>
  </si>
  <si>
    <t>265423</t>
  </si>
  <si>
    <t>WESTWOOD HILLS HEALTH &amp; REHABILITATION CENTER</t>
  </si>
  <si>
    <t>265193</t>
  </si>
  <si>
    <t>WESTWOOD LIVING CENTER</t>
  </si>
  <si>
    <t>265347</t>
  </si>
  <si>
    <t>WILLARD CARE CENTER</t>
  </si>
  <si>
    <t>265455</t>
  </si>
  <si>
    <t>WILLOW CARE NURSING HOME</t>
  </si>
  <si>
    <t>265335</t>
  </si>
  <si>
    <t>WILLOW CARE REHABILITATION &amp; HEALTH CARE CENTER</t>
  </si>
  <si>
    <t>265462</t>
  </si>
  <si>
    <t>WILSHIRE AT LAKEWOOD</t>
  </si>
  <si>
    <t>265700</t>
  </si>
  <si>
    <t>WILSON'S CREEK NURSING &amp; REHAB</t>
  </si>
  <si>
    <t>265161</t>
  </si>
  <si>
    <t>WINCHESTER NURSING CENTER, INC</t>
  </si>
  <si>
    <t>265874</t>
  </si>
  <si>
    <t>WINDSOR ESTATES OF ST CHARLES SNAL, LLC</t>
  </si>
  <si>
    <t>265518</t>
  </si>
  <si>
    <t>WINDSOR HEALTHCARE &amp; REHAB CENTER</t>
  </si>
  <si>
    <t>265683</t>
  </si>
  <si>
    <t>WOODLAND HILLS-A STONEBRIDGE COMMUNITY</t>
  </si>
  <si>
    <t>265553</t>
  </si>
  <si>
    <t>WOODLAND MANOR</t>
  </si>
  <si>
    <t>265749</t>
  </si>
  <si>
    <t>WOODLAND MANOR NURSING CENTER</t>
  </si>
  <si>
    <t>265324</t>
  </si>
  <si>
    <t>WORTH COUNTY CONVALESCENT CENTER</t>
  </si>
  <si>
    <t>265773</t>
  </si>
  <si>
    <t>shift</t>
  </si>
  <si>
    <t>Location</t>
  </si>
  <si>
    <t>Activity prior</t>
  </si>
  <si>
    <t>Injury Type</t>
  </si>
  <si>
    <t>TX location</t>
  </si>
  <si>
    <t>Causal factors</t>
  </si>
  <si>
    <t>year</t>
  </si>
  <si>
    <t>time code</t>
  </si>
  <si>
    <t>time1</t>
  </si>
  <si>
    <t>time2</t>
  </si>
  <si>
    <t>Day</t>
  </si>
  <si>
    <t>Skin tear</t>
  </si>
  <si>
    <t>Facility</t>
  </si>
  <si>
    <t>7-9:59am</t>
  </si>
  <si>
    <t>Evening</t>
  </si>
  <si>
    <t>ER</t>
  </si>
  <si>
    <t>10-11:59am</t>
  </si>
  <si>
    <t>Night</t>
  </si>
  <si>
    <t>Admitted</t>
  </si>
  <si>
    <t>12-1:29pm</t>
  </si>
  <si>
    <t>Bone fracture</t>
  </si>
  <si>
    <t>1:30-2:59pm</t>
  </si>
  <si>
    <t>Joint dislocation</t>
  </si>
  <si>
    <t>3-4:59pm</t>
  </si>
  <si>
    <t>Closed head injury w/ Altered Consciousness</t>
  </si>
  <si>
    <t>5-7:59pm</t>
  </si>
  <si>
    <t>Subdural hematoma</t>
  </si>
  <si>
    <t>8-10:59pm</t>
  </si>
  <si>
    <t xml:space="preserve">Other </t>
  </si>
  <si>
    <t>11pm-12:59am</t>
  </si>
  <si>
    <t>1-4:59am</t>
  </si>
  <si>
    <t>5-6:59am</t>
  </si>
  <si>
    <r>
      <rPr>
        <sz val="28"/>
        <color rgb="FF006DB7"/>
        <rFont val="Calibri"/>
        <family val="2"/>
        <scheme val="minor"/>
      </rPr>
      <t>NURSING HOME</t>
    </r>
    <r>
      <rPr>
        <b/>
        <sz val="28"/>
        <color rgb="FF006DB7"/>
        <rFont val="Calibri"/>
        <family val="2"/>
        <scheme val="minor"/>
      </rPr>
      <t xml:space="preserve"> FALLS TRACKING TOOL</t>
    </r>
  </si>
  <si>
    <t xml:space="preserve">The following workbook is a template for nursing homes to track and trend falls over time and their potential causal factors. </t>
  </si>
  <si>
    <t xml:space="preserve">This workbook is divided into multiple tabs: </t>
  </si>
  <si>
    <r>
      <rPr>
        <b/>
        <sz val="12"/>
        <color theme="1"/>
        <rFont val="Calibri"/>
        <family val="2"/>
        <scheme val="minor"/>
      </rPr>
      <t>Falls Data Entry</t>
    </r>
    <r>
      <rPr>
        <sz val="12"/>
        <color theme="1"/>
        <rFont val="Calibri"/>
        <family val="2"/>
        <scheme val="minor"/>
      </rPr>
      <t xml:space="preserve">: Please enter each new fall incident in a new line. Data from this tab will feed into the </t>
    </r>
    <r>
      <rPr>
        <b/>
        <sz val="12"/>
        <color theme="1"/>
        <rFont val="Calibri"/>
        <family val="2"/>
        <scheme val="minor"/>
      </rPr>
      <t>"Falls Summary"</t>
    </r>
    <r>
      <rPr>
        <sz val="12"/>
        <color theme="1"/>
        <rFont val="Calibri"/>
        <family val="2"/>
        <scheme val="minor"/>
      </rPr>
      <t xml:space="preserve"> tab to generate graphs for the current month and year-to-date.</t>
    </r>
  </si>
  <si>
    <r>
      <rPr>
        <b/>
        <sz val="12"/>
        <color theme="1"/>
        <rFont val="Calibri"/>
        <family val="2"/>
        <scheme val="minor"/>
      </rPr>
      <t>Unit Designation</t>
    </r>
    <r>
      <rPr>
        <sz val="12"/>
        <color theme="1"/>
        <rFont val="Calibri"/>
        <family val="2"/>
        <scheme val="minor"/>
      </rPr>
      <t>: Please list your units or neighborhoods within your facility that will be included in this report.</t>
    </r>
  </si>
  <si>
    <r>
      <rPr>
        <b/>
        <sz val="12"/>
        <color theme="1"/>
        <rFont val="Calibri"/>
        <family val="2"/>
        <scheme val="minor"/>
      </rPr>
      <t>PALTmed Potential Causal Factors</t>
    </r>
    <r>
      <rPr>
        <sz val="12"/>
        <color theme="1"/>
        <rFont val="Calibri"/>
        <family val="2"/>
        <scheme val="minor"/>
      </rPr>
      <t>: Please review this sheet for guidance on fall incident evaluation and determining causal factors of the fall.</t>
    </r>
  </si>
  <si>
    <t xml:space="preserve">Categories listed are included on the Falls Data Entry tab for multiple selection as causal factors from fall review. </t>
  </si>
  <si>
    <r>
      <rPr>
        <b/>
        <sz val="12"/>
        <color theme="1"/>
        <rFont val="Calibri"/>
        <family val="2"/>
        <scheme val="minor"/>
      </rPr>
      <t>Falls Summary tabs</t>
    </r>
    <r>
      <rPr>
        <sz val="12"/>
        <color theme="1"/>
        <rFont val="Calibri"/>
        <family val="2"/>
        <scheme val="minor"/>
      </rPr>
      <t xml:space="preserve">: In the </t>
    </r>
    <r>
      <rPr>
        <b/>
        <sz val="12"/>
        <color theme="1"/>
        <rFont val="Calibri"/>
        <family val="2"/>
        <scheme val="minor"/>
      </rPr>
      <t>Falls Summary tab</t>
    </r>
    <r>
      <rPr>
        <sz val="12"/>
        <color theme="1"/>
        <rFont val="Calibri"/>
        <family val="2"/>
        <scheme val="minor"/>
      </rPr>
      <t xml:space="preserve">, select timeframe and up to 3 units/neighborhoods to compare general statistics, fall locations and times, causal factors, injury types, etc. </t>
    </r>
  </si>
  <si>
    <r>
      <t xml:space="preserve">Selected units and facility-wide statistics are summarized in the </t>
    </r>
    <r>
      <rPr>
        <b/>
        <sz val="12"/>
        <color theme="1"/>
        <rFont val="Calibri"/>
        <family val="2"/>
        <scheme val="minor"/>
      </rPr>
      <t xml:space="preserve">Falls Summary, Time Location Falls Summary and Falls Injury Summary </t>
    </r>
    <r>
      <rPr>
        <sz val="12"/>
        <color theme="1"/>
        <rFont val="Calibri"/>
        <family val="2"/>
        <scheme val="minor"/>
      </rPr>
      <t>tabs.</t>
    </r>
  </si>
  <si>
    <t>This tool can be used over several months or across years as needed. Please select the month/year you plan to begin tracking below to populate.</t>
  </si>
  <si>
    <t xml:space="preserve">Please enter your nursing home state, name, CCN and start date of tracking falls.   </t>
  </si>
  <si>
    <t xml:space="preserve">The Tracking Start Date must be entered for the Summary tabs to populate correctly. </t>
  </si>
  <si>
    <r>
      <t xml:space="preserve">STATE
</t>
    </r>
    <r>
      <rPr>
        <sz val="12"/>
        <rFont val="Calibri"/>
        <family val="2"/>
        <scheme val="minor"/>
      </rPr>
      <t xml:space="preserve"> (two letter abbreviation)</t>
    </r>
    <r>
      <rPr>
        <b/>
        <sz val="14"/>
        <rFont val="Calibri"/>
        <family val="2"/>
        <scheme val="minor"/>
      </rPr>
      <t>:</t>
    </r>
  </si>
  <si>
    <t>NURSING HOME NAME:</t>
  </si>
  <si>
    <r>
      <t xml:space="preserve">CCN NUMBER
</t>
    </r>
    <r>
      <rPr>
        <sz val="12"/>
        <rFont val="Calibri"/>
        <family val="2"/>
        <scheme val="minor"/>
      </rPr>
      <t>(6 digit number)</t>
    </r>
    <r>
      <rPr>
        <b/>
        <sz val="14"/>
        <rFont val="Calibri"/>
        <family val="2"/>
        <scheme val="minor"/>
      </rPr>
      <t>:</t>
    </r>
  </si>
  <si>
    <r>
      <t xml:space="preserve">TRACKING START DATE
</t>
    </r>
    <r>
      <rPr>
        <sz val="12"/>
        <rFont val="Calibri"/>
        <family val="2"/>
        <scheme val="minor"/>
      </rPr>
      <t xml:space="preserve"> (mm/dd/yyyy)</t>
    </r>
    <r>
      <rPr>
        <sz val="14"/>
        <rFont val="Calibri"/>
        <family val="2"/>
        <scheme val="minor"/>
      </rPr>
      <t>:</t>
    </r>
  </si>
  <si>
    <r>
      <t xml:space="preserve">For questions or more information, please </t>
    </r>
    <r>
      <rPr>
        <b/>
        <sz val="14"/>
        <rFont val="Calibri"/>
        <family val="2"/>
        <scheme val="minor"/>
      </rPr>
      <t>connect with HQI</t>
    </r>
    <r>
      <rPr>
        <sz val="12"/>
        <rFont val="Calibri"/>
        <family val="2"/>
        <scheme val="minor"/>
      </rPr>
      <t>:</t>
    </r>
  </si>
  <si>
    <t>Phone: 877.731.4746</t>
  </si>
  <si>
    <r>
      <rPr>
        <sz val="12"/>
        <color theme="1"/>
        <rFont val="Calibri"/>
        <family val="2"/>
        <scheme val="minor"/>
      </rPr>
      <t>Website:</t>
    </r>
    <r>
      <rPr>
        <sz val="12"/>
        <color theme="10"/>
        <rFont val="Calibri"/>
        <family val="2"/>
        <scheme val="minor"/>
      </rPr>
      <t xml:space="preserve"> </t>
    </r>
    <r>
      <rPr>
        <u/>
        <sz val="12"/>
        <color rgb="FF0563C1"/>
        <rFont val="Calibri"/>
        <family val="2"/>
        <scheme val="minor"/>
      </rPr>
      <t>www.southeastqinqio.org</t>
    </r>
  </si>
  <si>
    <r>
      <rPr>
        <sz val="11"/>
        <color theme="1"/>
        <rFont val="Calibri"/>
        <family val="2"/>
        <scheme val="minor"/>
      </rPr>
      <t xml:space="preserve">X: </t>
    </r>
    <r>
      <rPr>
        <u/>
        <sz val="11"/>
        <color theme="10"/>
        <rFont val="Calibri"/>
        <family val="2"/>
        <scheme val="minor"/>
      </rPr>
      <t>HQISolutions</t>
    </r>
  </si>
  <si>
    <r>
      <rPr>
        <sz val="12"/>
        <color theme="1"/>
        <rFont val="Calibri"/>
        <family val="2"/>
        <scheme val="minor"/>
      </rPr>
      <t xml:space="preserve">Facebook: </t>
    </r>
    <r>
      <rPr>
        <u/>
        <sz val="12"/>
        <color theme="10"/>
        <rFont val="Calibri"/>
        <family val="2"/>
        <scheme val="minor"/>
      </rPr>
      <t>@HQINetwork</t>
    </r>
  </si>
  <si>
    <r>
      <rPr>
        <sz val="12"/>
        <color theme="1"/>
        <rFont val="Calibri"/>
        <family val="2"/>
        <scheme val="minor"/>
      </rPr>
      <t xml:space="preserve">LinkedIn: </t>
    </r>
    <r>
      <rPr>
        <u/>
        <sz val="12"/>
        <color theme="10"/>
        <rFont val="Calibri"/>
        <family val="2"/>
        <scheme val="minor"/>
      </rPr>
      <t>Health Quality Innovators (HQI)</t>
    </r>
  </si>
  <si>
    <r>
      <rPr>
        <sz val="12"/>
        <color theme="1"/>
        <rFont val="Calibri"/>
        <family val="2"/>
        <scheme val="minor"/>
      </rPr>
      <t xml:space="preserve">YouTube: </t>
    </r>
    <r>
      <rPr>
        <u/>
        <sz val="12"/>
        <color theme="10"/>
        <rFont val="Calibri"/>
        <family val="2"/>
        <scheme val="minor"/>
      </rPr>
      <t>Health Quality Innovators</t>
    </r>
  </si>
  <si>
    <t>This material was prepared by Health Quality Innovators (HQI), a Quality Innovation Network-Quality Improvement Organization (QIN-QIO) under contract with the Centers for Medicare &amp; Medicaid Services (CMS), an agency of the U.S. Department of Health and Human Services (HHS). Views expressed in this material do not necessarily reflect the official views or policy of CMS or HHS, and any reference to a specific product or entity herein does not constitute endorsement of that product or entity by CMS or HHS. 13SOW/HQI/QIN-QIO-1119-06/09/26</t>
  </si>
  <si>
    <r>
      <rPr>
        <sz val="28"/>
        <color rgb="FF006DB7"/>
        <rFont val="Nirmala UI"/>
        <family val="2"/>
      </rPr>
      <t>NURSING HOME</t>
    </r>
    <r>
      <rPr>
        <b/>
        <sz val="28"/>
        <color rgb="FF006DB7"/>
        <rFont val="Nirmala UI"/>
        <family val="2"/>
      </rPr>
      <t xml:space="preserve"> FALLS TRACKING TOOL</t>
    </r>
  </si>
  <si>
    <t>FALLS DATA ENTRY</t>
  </si>
  <si>
    <t>EXAMPLE ONLY</t>
  </si>
  <si>
    <t xml:space="preserve">Please enter each new fall incident in a new line.  </t>
  </si>
  <si>
    <t>POTENTIAL CAUSAL FACTORS</t>
  </si>
  <si>
    <t>Unit</t>
  </si>
  <si>
    <t>Resident Last Name, First Name</t>
  </si>
  <si>
    <t>Room # &amp; Bed</t>
  </si>
  <si>
    <t>Date of Admit/ Readmit</t>
  </si>
  <si>
    <t>Post-fall Evaluation Performed?</t>
  </si>
  <si>
    <t>Care Plan Interventions Followed?</t>
  </si>
  <si>
    <t>New Intervention Implemented?</t>
  </si>
  <si>
    <t>Date of Fall</t>
  </si>
  <si>
    <t>Did Fall Occur w/in 30 Days of Admit/Readmit? (autofilled)</t>
  </si>
  <si>
    <t>Day of Week (autofilled)</t>
  </si>
  <si>
    <t>Shift (day, evening, night)</t>
  </si>
  <si>
    <t>Time (enter actual time with space between AM or PM)</t>
  </si>
  <si>
    <t>Time Ranges (autofilled)</t>
  </si>
  <si>
    <t>Location of Fall</t>
  </si>
  <si>
    <t>Activity Prior to Fall</t>
  </si>
  <si>
    <t>Fall Resulted in Injury?</t>
  </si>
  <si>
    <t>Injury Detail Description</t>
  </si>
  <si>
    <t>Treatment Location</t>
  </si>
  <si>
    <t>Comments (if "Other" selected for Causal Factor, please explain)</t>
  </si>
  <si>
    <t>Elm Tree Unit</t>
  </si>
  <si>
    <t>Doe, Jane</t>
  </si>
  <si>
    <t>201 bed2</t>
  </si>
  <si>
    <t>Yes</t>
  </si>
  <si>
    <t>No</t>
  </si>
  <si>
    <t>Thu</t>
  </si>
  <si>
    <t>Peach Tree Unit</t>
  </si>
  <si>
    <t>Fri</t>
  </si>
  <si>
    <t>Maple Tree Unit</t>
  </si>
  <si>
    <t>Sat</t>
  </si>
  <si>
    <t>Sun</t>
  </si>
  <si>
    <t>Tue</t>
  </si>
  <si>
    <t>Wed</t>
  </si>
  <si>
    <t>Mon</t>
  </si>
  <si>
    <t>NURSING HOME FALLS TRACKING TOOL</t>
  </si>
  <si>
    <t>UNIT DESIGNATION</t>
  </si>
  <si>
    <t xml:space="preserve">Please list the units or neighborhoods within your facility that will be included in this report.  </t>
  </si>
  <si>
    <t>You may list up to 20 units that will be included in the "unit" dropdown list in the Falls Data Entry sheet.</t>
  </si>
  <si>
    <t>List each unit only once.</t>
  </si>
  <si>
    <t>Unit Name/Number</t>
  </si>
  <si>
    <t>Unit Description (optional)</t>
  </si>
  <si>
    <t>Unit 1</t>
  </si>
  <si>
    <t>Unit 2</t>
  </si>
  <si>
    <t>Unit 3</t>
  </si>
  <si>
    <t>Unit &amp; Facility-wide General Summary</t>
  </si>
  <si>
    <t>Selection 2</t>
  </si>
  <si>
    <t>Selection 3</t>
  </si>
  <si>
    <t xml:space="preserve">Select up to 3 units for comparison:  </t>
  </si>
  <si>
    <t>Top 3 units w/ highest # falls in current timeframe:</t>
  </si>
  <si>
    <t xml:space="preserve">Select current timeframe of interest:  </t>
  </si>
  <si>
    <t xml:space="preserve">Select year of interest:  </t>
  </si>
  <si>
    <t>Care Plan Interventions followed?</t>
  </si>
  <si>
    <t>Post-Fall Evaluation Completed</t>
  </si>
  <si>
    <t>Care Plan Interventions Followed</t>
  </si>
  <si>
    <t>New Intervention Implemented</t>
  </si>
  <si>
    <r>
      <rPr>
        <b/>
        <sz val="11"/>
        <color theme="1"/>
        <rFont val="Nirmala UI"/>
        <family val="2"/>
      </rPr>
      <t xml:space="preserve">Select Unit for Chart Comparison: </t>
    </r>
    <r>
      <rPr>
        <sz val="11"/>
        <color theme="1"/>
        <rFont val="Nirmala UI"/>
        <family val="2"/>
      </rPr>
      <t>(selection effects charts in all 3 summary tabs)</t>
    </r>
  </si>
  <si>
    <r>
      <rPr>
        <b/>
        <sz val="11"/>
        <color theme="1"/>
        <rFont val="Nirmala UI"/>
        <family val="2"/>
      </rPr>
      <t>Unit</t>
    </r>
    <r>
      <rPr>
        <sz val="11"/>
        <color theme="1"/>
        <rFont val="Nirmala UI"/>
        <family val="2"/>
      </rPr>
      <t xml:space="preserve"> for Chart Comparison:</t>
    </r>
  </si>
  <si>
    <t>Unit &amp; Facility-wide Day, Shift, Time, Location Fall Summary</t>
  </si>
  <si>
    <t>Top 3 units w/ highest # Falls in current timeframe:</t>
  </si>
  <si>
    <r>
      <rPr>
        <b/>
        <sz val="11"/>
        <color theme="1"/>
        <rFont val="Nirmala UI"/>
        <family val="2"/>
      </rPr>
      <t>Unit</t>
    </r>
    <r>
      <rPr>
        <sz val="11"/>
        <color theme="1"/>
        <rFont val="Nirmala UI"/>
        <family val="2"/>
      </rPr>
      <t xml:space="preserve"> Selected from Falls Summary tab for Chart Comparison:</t>
    </r>
  </si>
  <si>
    <t>Unit &amp; Facility-wide Falls Injury Summary</t>
  </si>
  <si>
    <t>#Falls by Injury Type</t>
  </si>
  <si>
    <t>%Falls by Injury Type</t>
  </si>
  <si>
    <t>Injuries Resulting in ED Transfer</t>
  </si>
  <si>
    <t>#Falls w/ Injury Treated in ED</t>
  </si>
  <si>
    <t>%Falls w/ Injury Treated in ED</t>
  </si>
  <si>
    <t>POST-FALL EVALUATION COMPONENTS FROM PALTmed CLINICAL PRACTICE GUIDELINES</t>
  </si>
  <si>
    <t>Risk Category</t>
  </si>
  <si>
    <t>Assessment Domains</t>
  </si>
  <si>
    <t>Post-Fall Evaluation</t>
  </si>
  <si>
    <t>Fall History</t>
  </si>
  <si>
    <t>•  Review history of falls</t>
  </si>
  <si>
    <t>•  Review history of recent or recurrent falls and the circumstances of those falls</t>
  </si>
  <si>
    <t>Review record for medications that could predispose to falls:</t>
  </si>
  <si>
    <t>•  Review resident's record for polypharmacy</t>
  </si>
  <si>
    <t>• Anticholinergics (Antiemetics, antihistimaines, antispasmodics, medications for dizziness)</t>
  </si>
  <si>
    <t>•  Review recent changes that may have been made to the resident's medication regimen</t>
  </si>
  <si>
    <t>•   Antidepressants (tricyclics, selective serotonin reuptake inhibitors, serotonin-norepinephrine reuptake inhibitors)</t>
  </si>
  <si>
    <r>
      <t xml:space="preserve">•  </t>
    </r>
    <r>
      <rPr>
        <sz val="7"/>
        <color theme="1"/>
        <rFont val="Nirmala UI"/>
        <family val="2"/>
      </rPr>
      <t xml:space="preserve"> </t>
    </r>
    <r>
      <rPr>
        <sz val="11"/>
        <color theme="1"/>
        <rFont val="Nirmala UI"/>
        <family val="2"/>
      </rPr>
      <t>Review anticholinergic burden and use of medications on the Beers list</t>
    </r>
  </si>
  <si>
    <t>•   Antidiabetic agents (Sliding-scale or basal-bolus insulin; sulfonylureas)</t>
  </si>
  <si>
    <t>•  Identify medications that may increase fall risk - taper, stop or switch as deemed appropriate</t>
  </si>
  <si>
    <t>•   Antiepileptics (Carbamazepine, Divalproex)</t>
  </si>
  <si>
    <t>•   Antihypertensives (Alpha blocers, Clonidine, diuretics, nonselective blockers, short-acting calcium channel blockers)</t>
  </si>
  <si>
    <t>•   Anti-parkinsonian agents (Benztropine, Trihexyphenidyl))</t>
  </si>
  <si>
    <t>•   Antipsychotic medications (Haloperidol, olanzapine, quetiapine)</t>
  </si>
  <si>
    <t>•   Acetychoinesterase inhibitors (Donepezil, galantamine, rivastigmine)</t>
  </si>
  <si>
    <t>•   Benzodiazepines (Diazepam, lorazepam, temazepam)</t>
  </si>
  <si>
    <t>•   Nonbenzodiazepine receptor agents - Z-drugs (Eszopiclone, Zaleplon, Zolpidem)</t>
  </si>
  <si>
    <t>•   Opioid analgesics (Hydrocodone, morphine, oxycodone)</t>
  </si>
  <si>
    <t>•   Assess for underlying medical conditions that may predispose to falls, including conditions that affect balance or cause dizziness or vertigo</t>
  </si>
  <si>
    <t>•   Review status of medical conditions that predispose to falls or that could increase the risk of injury from falls</t>
  </si>
  <si>
    <t>•   Assess blood pressure, heart rate and rhythm</t>
  </si>
  <si>
    <t>•    Assess heart rate and rhythm</t>
  </si>
  <si>
    <t>•   Assess for orthostatic hypotension and conditions predisposing to it</t>
  </si>
  <si>
    <t>•   Assess for orthostatic hypotension and optimize predisposing conditions</t>
  </si>
  <si>
    <t>•  Consider checking vitamin D level if risk factors are present for vitamin D deficiiency and supplement if appropriate</t>
  </si>
  <si>
    <t>•   Assess for acute illness or worsening of chronic conditions</t>
  </si>
  <si>
    <t>•   Evidence supporting vitamin D supplementation has changed over time. While vitamin D supplements may reduce fracture risk, they do not prevent falls.</t>
  </si>
  <si>
    <t>Assess the resident's:</t>
  </si>
  <si>
    <t>•   Reassess for significant changes in gait, mobility, standing and sitting balance, and lower extremity function</t>
  </si>
  <si>
    <t xml:space="preserve">•   Mobility, gait, standing and sitting  balance - when feasible, use a standardized assessment tool </t>
  </si>
  <si>
    <t>•   Reassess use of ambulatory and safety of any current restraints</t>
  </si>
  <si>
    <t>•   Lower-extremity joint function</t>
  </si>
  <si>
    <t>•   Assess for significant changes in activity tolerance</t>
  </si>
  <si>
    <t>•   Ability to use ambulatory assistive devices (e.g., cane, walker)</t>
  </si>
  <si>
    <t>•   Review bowel and bladder continence status</t>
  </si>
  <si>
    <t>•   Appropriateness and safety of any current restraints</t>
  </si>
  <si>
    <t>•   Assess whether footwear may have contributed to the fall</t>
  </si>
  <si>
    <t>•   Review activity tolerance</t>
  </si>
  <si>
    <t>•   Assess for new or progressive functional impairments</t>
  </si>
  <si>
    <r>
      <t xml:space="preserve">•   </t>
    </r>
    <r>
      <rPr>
        <sz val="7"/>
        <color theme="1"/>
        <rFont val="Nirmala UI"/>
        <family val="2"/>
      </rPr>
      <t> </t>
    </r>
    <r>
      <rPr>
        <sz val="11"/>
        <color theme="1"/>
        <rFont val="Nirmala UI"/>
        <family val="2"/>
      </rPr>
      <t>Bowel and bladder continence status</t>
    </r>
  </si>
  <si>
    <t>•   If the resident uses a wheelchair, assess sitting position and make sure cushions are properly positioned; ensure wheelchairs are maintained in proper working order</t>
  </si>
  <si>
    <t xml:space="preserve">Assess for: </t>
  </si>
  <si>
    <t>•   Reassess visual and auditory impairments</t>
  </si>
  <si>
    <t>•   Conditions that impair vision (e.g., cataracts, glaucoma, macular degeneration)</t>
  </si>
  <si>
    <t>•   Assess for presence of delirium and for significant changes in cognition</t>
  </si>
  <si>
    <t>•   Muscle strength, propriception, reflexes, cerebellar function</t>
  </si>
  <si>
    <t>•   Assess new or progressing neurological impairments</t>
  </si>
  <si>
    <t>•   Sensory deficits, including peripheral neuropathies</t>
  </si>
  <si>
    <t>•   Assess for decision-making capacity, delirium, imparied cognition, judgement, memory or safety awareness</t>
  </si>
  <si>
    <t>•   Reassess as indicated for significant changes in cognition, safety awareness, and decision-making capacity</t>
  </si>
  <si>
    <t>Environmental Factors</t>
  </si>
  <si>
    <t>Assess for:</t>
  </si>
  <si>
    <t>Review and modify environmental factors that could have caused or contributed to the fall:</t>
  </si>
  <si>
    <t>•   Environmental factors that could cause or contribute to falls</t>
  </si>
  <si>
    <t>•   Ill-fitting or inappropriately-soled footwear</t>
  </si>
  <si>
    <t>•   Footwear that might be contributing to fall risk</t>
  </si>
  <si>
    <t>•   Inappropriate bed and chair height</t>
  </si>
  <si>
    <t>•   Equipment such as assistive mobility devices (e.g., wheelchairs, walkers) and bed brakes function properly</t>
  </si>
  <si>
    <t>•   Inadequate, defective or inappropriate assistive devices                                             •   Inadequate lighting</t>
  </si>
  <si>
    <t>•   Inappropriate seating or positioning while sitting</t>
  </si>
  <si>
    <t>•   Lack of grab bars in bathrooms</t>
  </si>
  <si>
    <t>•   Loose carpets or throw rugs</t>
  </si>
  <si>
    <t>•   Malfunctioning emergency call systems</t>
  </si>
  <si>
    <t>•   Poorly-fitting or incorrect eye wear and hearing aids</t>
  </si>
  <si>
    <t>•   Uneven flooring</t>
  </si>
  <si>
    <t>•   Unfamiliar environment</t>
  </si>
  <si>
    <t>•   Use of full-length side rails</t>
  </si>
  <si>
    <t>•   Wet or slippery floor</t>
  </si>
  <si>
    <t>•   Presence of animals</t>
  </si>
  <si>
    <t>•   Clutter inside the room (e.g., furniture, assistive devices, commode)</t>
  </si>
  <si>
    <t xml:space="preserve">Excerpted from PALTmed Falls and Fall Prevention in the Post-Acute and Long-Term Care Setting Clinical Practice Guidelines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</si>
</sst>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409]mmmm\-yy;@"/>
    <numFmt numFmtId="165" formatCode="yyyy"/>
    <numFmt numFmtId="166" formatCode="[$-409]h:mm\ AM/PM;@"/>
    <numFmt numFmtId="167" formatCode="0.0%"/>
    <numFmt numFmtId="168" formatCode="[$-409]mmmm\ yyyy;@"/>
  </numFmts>
  <fonts count="48" x14ac:knownFonts="1">
    <font>
      <sz val="11"/>
      <color theme="1"/>
      <name val="Calibri"/>
      <family val="2"/>
      <scheme val="minor"/>
    </font>
    <font>
      <sz val="10"/>
      <name val="Arial"/>
      <family val="2"/>
    </font>
    <font>
      <u/>
      <sz val="11"/>
      <color theme="10"/>
      <name val="Calibri"/>
      <family val="2"/>
      <scheme val="minor"/>
    </font>
    <font>
      <sz val="12"/>
      <name val="Calibri"/>
      <family val="2"/>
      <scheme val="minor"/>
    </font>
    <font>
      <u/>
      <sz val="12"/>
      <color theme="10"/>
      <name val="Calibri"/>
      <family val="2"/>
      <scheme val="minor"/>
    </font>
    <font>
      <sz val="12"/>
      <color theme="1"/>
      <name val="Calibri"/>
      <family val="2"/>
      <scheme val="minor"/>
    </font>
    <font>
      <b/>
      <sz val="12"/>
      <color theme="1"/>
      <name val="Calibri"/>
      <family val="2"/>
      <scheme val="minor"/>
    </font>
    <font>
      <sz val="11"/>
      <color theme="1"/>
      <name val="Calibri"/>
      <family val="2"/>
      <scheme val="minor"/>
    </font>
    <font>
      <b/>
      <sz val="26"/>
      <color rgb="FF006DB7"/>
      <name val="Nirmala UI"/>
      <family val="2"/>
    </font>
    <font>
      <b/>
      <sz val="26"/>
      <name val="Nirmala UI"/>
      <family val="2"/>
    </font>
    <font>
      <sz val="11"/>
      <color theme="1"/>
      <name val="Nirmala UI"/>
      <family val="2"/>
    </font>
    <font>
      <sz val="12"/>
      <color theme="1"/>
      <name val="Nirmala UI"/>
      <family val="2"/>
    </font>
    <font>
      <b/>
      <sz val="12"/>
      <color theme="1"/>
      <name val="Nirmala UI"/>
      <family val="2"/>
    </font>
    <font>
      <b/>
      <sz val="16"/>
      <color theme="1"/>
      <name val="Nirmala UI"/>
      <family val="2"/>
    </font>
    <font>
      <b/>
      <sz val="14"/>
      <color theme="1"/>
      <name val="Nirmala UI"/>
      <family val="2"/>
    </font>
    <font>
      <b/>
      <sz val="12"/>
      <color theme="0"/>
      <name val="Nirmala UI"/>
      <family val="2"/>
    </font>
    <font>
      <b/>
      <sz val="12"/>
      <name val="Nirmala UI"/>
      <family val="2"/>
    </font>
    <font>
      <b/>
      <sz val="14"/>
      <color theme="0"/>
      <name val="Nirmala UI"/>
      <family val="2"/>
    </font>
    <font>
      <sz val="14"/>
      <color theme="1"/>
      <name val="Nirmala UI"/>
      <family val="2"/>
    </font>
    <font>
      <sz val="11"/>
      <color theme="1"/>
      <name val="Nirmala UI"/>
      <family val="2"/>
    </font>
    <font>
      <b/>
      <sz val="18"/>
      <color rgb="FF006DB7"/>
      <name val="Nirmala UI"/>
      <family val="2"/>
    </font>
    <font>
      <b/>
      <sz val="18"/>
      <color theme="1"/>
      <name val="Nirmala UI"/>
      <family val="2"/>
    </font>
    <font>
      <b/>
      <sz val="11"/>
      <color theme="0"/>
      <name val="Nirmala UI"/>
      <family val="2"/>
    </font>
    <font>
      <b/>
      <sz val="11"/>
      <name val="Nirmala UI"/>
      <family val="2"/>
    </font>
    <font>
      <sz val="10"/>
      <name val="Nirmala UI"/>
      <family val="2"/>
    </font>
    <font>
      <b/>
      <sz val="11"/>
      <color theme="1"/>
      <name val="Nirmala UI"/>
      <family val="2"/>
    </font>
    <font>
      <sz val="11"/>
      <color theme="0"/>
      <name val="Nirmala UI"/>
      <family val="2"/>
    </font>
    <font>
      <sz val="7"/>
      <color theme="1"/>
      <name val="Nirmala UI"/>
      <family val="2"/>
    </font>
    <font>
      <b/>
      <sz val="14"/>
      <name val="Calibri"/>
      <family val="2"/>
      <scheme val="minor"/>
    </font>
    <font>
      <b/>
      <sz val="12"/>
      <name val="Calibri"/>
      <family val="2"/>
      <scheme val="minor"/>
    </font>
    <font>
      <sz val="14"/>
      <name val="Calibri"/>
      <family val="2"/>
      <scheme val="minor"/>
    </font>
    <font>
      <sz val="10"/>
      <color theme="0"/>
      <name val="Calibri"/>
      <family val="2"/>
      <scheme val="minor"/>
    </font>
    <font>
      <sz val="10"/>
      <name val="Calibri"/>
      <family val="2"/>
      <scheme val="minor"/>
    </font>
    <font>
      <sz val="14"/>
      <color theme="0"/>
      <name val="Calibri"/>
      <family val="2"/>
      <scheme val="minor"/>
    </font>
    <font>
      <sz val="8"/>
      <name val="Calibri"/>
      <family val="2"/>
      <scheme val="minor"/>
    </font>
    <font>
      <sz val="28"/>
      <color rgb="FF006DB7"/>
      <name val="Nirmala UI"/>
      <family val="2"/>
    </font>
    <font>
      <b/>
      <sz val="28"/>
      <color rgb="FF006DB7"/>
      <name val="Nirmala UI"/>
      <family val="2"/>
    </font>
    <font>
      <sz val="28"/>
      <color theme="1"/>
      <name val="Nirmala UI"/>
      <family val="2"/>
    </font>
    <font>
      <b/>
      <sz val="28"/>
      <name val="Nirmala UI"/>
      <family val="2"/>
    </font>
    <font>
      <b/>
      <sz val="26"/>
      <color rgb="FFFF0000"/>
      <name val="Nirmala UI"/>
      <family val="2"/>
    </font>
    <font>
      <sz val="9"/>
      <name val="Calibri"/>
      <family val="2"/>
      <scheme val="minor"/>
    </font>
    <font>
      <sz val="28"/>
      <color theme="1"/>
      <name val="Calibri"/>
      <family val="2"/>
      <scheme val="minor"/>
    </font>
    <font>
      <sz val="28"/>
      <color rgb="FF006DB7"/>
      <name val="Calibri"/>
      <family val="2"/>
      <scheme val="minor"/>
    </font>
    <font>
      <b/>
      <sz val="28"/>
      <color rgb="FF006DB7"/>
      <name val="Calibri"/>
      <family val="2"/>
      <scheme val="minor"/>
    </font>
    <font>
      <b/>
      <sz val="28"/>
      <name val="Calibri"/>
      <family val="2"/>
      <scheme val="minor"/>
    </font>
    <font>
      <b/>
      <sz val="12"/>
      <color rgb="FFC00000"/>
      <name val="Calibri"/>
      <family val="2"/>
      <scheme val="minor"/>
    </font>
    <font>
      <sz val="12"/>
      <color theme="10"/>
      <name val="Calibri"/>
      <family val="2"/>
      <scheme val="minor"/>
    </font>
    <font>
      <u/>
      <sz val="12"/>
      <color rgb="FF0563C1"/>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rgb="FF006DB7"/>
        <bgColor indexed="64"/>
      </patternFill>
    </fill>
    <fill>
      <patternFill patternType="solid">
        <fgColor rgb="FFD663A6"/>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rgb="FFFFFFFF"/>
        <bgColor rgb="FF000000"/>
      </patternFill>
    </fill>
    <fill>
      <patternFill patternType="solid">
        <fgColor theme="0" tint="-0.14999847407452621"/>
        <bgColor indexed="64"/>
      </patternFill>
    </fill>
    <fill>
      <patternFill patternType="solid">
        <fgColor rgb="FF69498F"/>
        <bgColor indexed="64"/>
      </patternFill>
    </fill>
    <fill>
      <patternFill patternType="solid">
        <fgColor rgb="FFC2DB6F"/>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ck">
        <color indexed="64"/>
      </left>
      <right style="thick">
        <color indexed="64"/>
      </right>
      <top style="thick">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ck">
        <color rgb="FFD663A6"/>
      </left>
      <right style="thin">
        <color indexed="64"/>
      </right>
      <top style="thick">
        <color rgb="FFD663A6"/>
      </top>
      <bottom style="thick">
        <color rgb="FFD663A6"/>
      </bottom>
      <diagonal/>
    </border>
    <border>
      <left style="thin">
        <color indexed="64"/>
      </left>
      <right style="thin">
        <color indexed="64"/>
      </right>
      <top style="thick">
        <color rgb="FFD663A6"/>
      </top>
      <bottom style="thick">
        <color rgb="FFD663A6"/>
      </bottom>
      <diagonal/>
    </border>
    <border>
      <left style="thin">
        <color indexed="64"/>
      </left>
      <right style="thick">
        <color rgb="FFD663A6"/>
      </right>
      <top style="thick">
        <color rgb="FFD663A6"/>
      </top>
      <bottom style="thick">
        <color rgb="FFD663A6"/>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ck">
        <color auto="1"/>
      </right>
      <top/>
      <bottom/>
      <diagonal/>
    </border>
    <border>
      <left style="medium">
        <color indexed="64"/>
      </left>
      <right style="medium">
        <color indexed="64"/>
      </right>
      <top style="thin">
        <color indexed="64"/>
      </top>
      <bottom/>
      <diagonal/>
    </border>
    <border>
      <left style="medium">
        <color auto="1"/>
      </left>
      <right/>
      <top/>
      <bottom style="medium">
        <color auto="1"/>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ck">
        <color rgb="FF98C11E"/>
      </left>
      <right style="thin">
        <color indexed="64"/>
      </right>
      <top style="thick">
        <color rgb="FF98C11E"/>
      </top>
      <bottom style="thick">
        <color rgb="FF98C11E"/>
      </bottom>
      <diagonal/>
    </border>
    <border>
      <left style="thin">
        <color indexed="64"/>
      </left>
      <right style="thin">
        <color indexed="64"/>
      </right>
      <top style="thick">
        <color rgb="FF98C11E"/>
      </top>
      <bottom style="thick">
        <color rgb="FF98C11E"/>
      </bottom>
      <diagonal/>
    </border>
    <border>
      <left style="thin">
        <color indexed="64"/>
      </left>
      <right style="thick">
        <color rgb="FF98C11E"/>
      </right>
      <top style="thick">
        <color rgb="FF98C11E"/>
      </top>
      <bottom style="thick">
        <color rgb="FF98C11E"/>
      </bottom>
      <diagonal/>
    </border>
  </borders>
  <cellStyleXfs count="4">
    <xf numFmtId="0" fontId="0" fillId="0" borderId="0"/>
    <xf numFmtId="0" fontId="1" fillId="0" borderId="0"/>
    <xf numFmtId="0" fontId="2" fillId="0" borderId="0" applyNumberFormat="0" applyFill="0" applyBorder="0" applyAlignment="0" applyProtection="0"/>
    <xf numFmtId="9" fontId="7" fillId="0" borderId="0" applyFont="0" applyFill="0" applyBorder="0" applyAlignment="0" applyProtection="0"/>
  </cellStyleXfs>
  <cellXfs count="214">
    <xf numFmtId="0" fontId="0" fillId="0" borderId="0" xfId="0"/>
    <xf numFmtId="0" fontId="5" fillId="0" borderId="0" xfId="0" applyFont="1"/>
    <xf numFmtId="17" fontId="0" fillId="0" borderId="0" xfId="0" applyNumberFormat="1"/>
    <xf numFmtId="165" fontId="0" fillId="0" borderId="0" xfId="0" applyNumberFormat="1"/>
    <xf numFmtId="166" fontId="0" fillId="0" borderId="0" xfId="0" applyNumberFormat="1"/>
    <xf numFmtId="0" fontId="3" fillId="2" borderId="0" xfId="1" applyFont="1" applyFill="1"/>
    <xf numFmtId="49" fontId="9" fillId="2" borderId="0" xfId="1" applyNumberFormat="1" applyFont="1" applyFill="1" applyAlignment="1">
      <alignment horizontal="left" vertical="center"/>
    </xf>
    <xf numFmtId="0" fontId="10" fillId="0" borderId="0" xfId="0" applyFont="1"/>
    <xf numFmtId="0" fontId="11" fillId="0" borderId="0" xfId="0" applyFont="1"/>
    <xf numFmtId="0" fontId="10" fillId="0" borderId="0" xfId="0" applyFont="1" applyAlignment="1">
      <alignment wrapText="1"/>
    </xf>
    <xf numFmtId="0" fontId="13" fillId="0" borderId="0" xfId="0" applyFont="1"/>
    <xf numFmtId="0" fontId="14" fillId="0" borderId="0" xfId="0" applyFont="1"/>
    <xf numFmtId="0" fontId="15" fillId="4" borderId="17" xfId="0" applyFont="1" applyFill="1" applyBorder="1" applyAlignment="1">
      <alignment horizontal="center" vertical="center"/>
    </xf>
    <xf numFmtId="0" fontId="15" fillId="4" borderId="17" xfId="0" applyFont="1" applyFill="1" applyBorder="1" applyAlignment="1">
      <alignment horizontal="center" vertical="center" wrapText="1"/>
    </xf>
    <xf numFmtId="0" fontId="16" fillId="8" borderId="17" xfId="0" applyFont="1" applyFill="1" applyBorder="1" applyAlignment="1">
      <alignment horizontal="center" vertical="center" wrapText="1"/>
    </xf>
    <xf numFmtId="0" fontId="10" fillId="0" borderId="0" xfId="0" applyFont="1" applyAlignment="1">
      <alignment horizontal="center" vertical="center"/>
    </xf>
    <xf numFmtId="0" fontId="10" fillId="0" borderId="15" xfId="0" applyFont="1" applyBorder="1"/>
    <xf numFmtId="14" fontId="10" fillId="0" borderId="15" xfId="0" applyNumberFormat="1" applyFont="1" applyBorder="1"/>
    <xf numFmtId="14" fontId="10" fillId="3" borderId="15" xfId="0" applyNumberFormat="1" applyFont="1" applyFill="1" applyBorder="1"/>
    <xf numFmtId="0" fontId="10" fillId="3" borderId="15" xfId="0" applyFont="1" applyFill="1" applyBorder="1"/>
    <xf numFmtId="18" fontId="10" fillId="0" borderId="15" xfId="0" applyNumberFormat="1" applyFont="1" applyBorder="1"/>
    <xf numFmtId="0" fontId="10" fillId="0" borderId="15" xfId="0" applyFont="1" applyBorder="1" applyAlignment="1">
      <alignment wrapText="1"/>
    </xf>
    <xf numFmtId="0" fontId="10" fillId="0" borderId="1" xfId="0" applyFont="1" applyBorder="1"/>
    <xf numFmtId="14" fontId="10" fillId="0" borderId="1" xfId="0" applyNumberFormat="1" applyFont="1" applyBorder="1"/>
    <xf numFmtId="14" fontId="10" fillId="3" borderId="1" xfId="0" applyNumberFormat="1" applyFont="1" applyFill="1" applyBorder="1"/>
    <xf numFmtId="0" fontId="10" fillId="3" borderId="1" xfId="0" applyFont="1" applyFill="1" applyBorder="1"/>
    <xf numFmtId="18" fontId="10" fillId="0" borderId="1" xfId="0" applyNumberFormat="1" applyFont="1" applyBorder="1"/>
    <xf numFmtId="0" fontId="10" fillId="0" borderId="1" xfId="0" applyFont="1" applyBorder="1" applyAlignment="1">
      <alignment wrapText="1"/>
    </xf>
    <xf numFmtId="0" fontId="12" fillId="0" borderId="0" xfId="0" applyFont="1"/>
    <xf numFmtId="0" fontId="18" fillId="0" borderId="7" xfId="0" applyFont="1" applyBorder="1"/>
    <xf numFmtId="0" fontId="18" fillId="0" borderId="8" xfId="0" applyFont="1" applyBorder="1"/>
    <xf numFmtId="0" fontId="18" fillId="0" borderId="9" xfId="0" applyFont="1" applyBorder="1"/>
    <xf numFmtId="0" fontId="18" fillId="0" borderId="10" xfId="0" applyFont="1" applyBorder="1"/>
    <xf numFmtId="0" fontId="19" fillId="0" borderId="0" xfId="0" applyFont="1"/>
    <xf numFmtId="9" fontId="19" fillId="0" borderId="0" xfId="3" applyFont="1"/>
    <xf numFmtId="0" fontId="20" fillId="0" borderId="0" xfId="0" applyFont="1"/>
    <xf numFmtId="0" fontId="21" fillId="0" borderId="0" xfId="0" applyFont="1"/>
    <xf numFmtId="0" fontId="22" fillId="4" borderId="17" xfId="0" applyFont="1" applyFill="1" applyBorder="1" applyAlignment="1">
      <alignment horizontal="center" vertical="center" wrapText="1"/>
    </xf>
    <xf numFmtId="9" fontId="22" fillId="4" borderId="17" xfId="3" applyFont="1" applyFill="1" applyBorder="1" applyAlignment="1">
      <alignment horizontal="center" vertical="center" wrapText="1"/>
    </xf>
    <xf numFmtId="0" fontId="23" fillId="0" borderId="17" xfId="0" applyFont="1" applyBorder="1" applyAlignment="1">
      <alignment horizontal="center" vertical="center" wrapText="1"/>
    </xf>
    <xf numFmtId="9" fontId="23" fillId="0" borderId="17" xfId="3" applyFont="1" applyFill="1" applyBorder="1" applyAlignment="1">
      <alignment horizontal="center" vertical="center" wrapText="1"/>
    </xf>
    <xf numFmtId="0" fontId="24" fillId="0" borderId="0" xfId="1" applyFont="1"/>
    <xf numFmtId="0" fontId="26" fillId="0" borderId="13" xfId="0" applyFont="1" applyBorder="1"/>
    <xf numFmtId="0" fontId="26" fillId="0" borderId="14" xfId="0" applyFont="1" applyBorder="1"/>
    <xf numFmtId="0" fontId="26" fillId="4" borderId="12" xfId="0" applyFont="1" applyFill="1" applyBorder="1"/>
    <xf numFmtId="167" fontId="25" fillId="0" borderId="1" xfId="3" applyNumberFormat="1" applyFont="1" applyBorder="1"/>
    <xf numFmtId="0" fontId="26" fillId="0" borderId="0" xfId="0" applyFont="1"/>
    <xf numFmtId="0" fontId="26" fillId="0" borderId="0" xfId="0" applyFont="1" applyAlignment="1">
      <alignment horizontal="right"/>
    </xf>
    <xf numFmtId="168" fontId="0" fillId="0" borderId="0" xfId="0" applyNumberFormat="1"/>
    <xf numFmtId="0" fontId="28" fillId="2" borderId="0" xfId="1" applyFont="1" applyFill="1" applyAlignment="1">
      <alignment horizontal="right" vertical="center"/>
    </xf>
    <xf numFmtId="0" fontId="30" fillId="10" borderId="26" xfId="1" applyFont="1" applyFill="1" applyBorder="1" applyAlignment="1" applyProtection="1">
      <alignment horizontal="left" vertical="center"/>
      <protection locked="0"/>
    </xf>
    <xf numFmtId="0" fontId="31" fillId="2" borderId="0" xfId="1" applyFont="1" applyFill="1"/>
    <xf numFmtId="0" fontId="32" fillId="2" borderId="0" xfId="1" applyFont="1" applyFill="1"/>
    <xf numFmtId="0" fontId="30" fillId="2" borderId="0" xfId="1" applyFont="1" applyFill="1" applyAlignment="1" applyProtection="1">
      <alignment horizontal="left" vertical="center"/>
      <protection locked="0"/>
    </xf>
    <xf numFmtId="0" fontId="30" fillId="10" borderId="26" xfId="1" applyFont="1" applyFill="1" applyBorder="1" applyAlignment="1">
      <alignment horizontal="left" vertical="center"/>
    </xf>
    <xf numFmtId="0" fontId="33" fillId="2" borderId="0" xfId="1" applyFont="1" applyFill="1" applyAlignment="1">
      <alignment horizontal="left" vertical="center"/>
    </xf>
    <xf numFmtId="0" fontId="30" fillId="2" borderId="0" xfId="1" applyFont="1" applyFill="1" applyAlignment="1">
      <alignment horizontal="left" vertical="center"/>
    </xf>
    <xf numFmtId="0" fontId="28" fillId="2" borderId="0" xfId="1" applyFont="1" applyFill="1" applyAlignment="1">
      <alignment horizontal="right" vertical="center" wrapText="1"/>
    </xf>
    <xf numFmtId="0" fontId="29" fillId="2" borderId="0" xfId="1" applyFont="1" applyFill="1" applyAlignment="1">
      <alignment horizontal="left" vertical="center"/>
    </xf>
    <xf numFmtId="0" fontId="29" fillId="2" borderId="0" xfId="1" applyFont="1" applyFill="1" applyAlignment="1">
      <alignment horizontal="center" vertical="center"/>
    </xf>
    <xf numFmtId="0" fontId="29" fillId="2" borderId="0" xfId="1" applyFont="1" applyFill="1"/>
    <xf numFmtId="0" fontId="10" fillId="7" borderId="13" xfId="0" applyFont="1" applyFill="1" applyBorder="1"/>
    <xf numFmtId="0" fontId="10" fillId="7" borderId="0" xfId="0" applyFont="1" applyFill="1"/>
    <xf numFmtId="0" fontId="12" fillId="7" borderId="1" xfId="0" applyFont="1" applyFill="1" applyBorder="1" applyAlignment="1">
      <alignment horizontal="center" wrapText="1"/>
    </xf>
    <xf numFmtId="9" fontId="12" fillId="7" borderId="1" xfId="3" applyFont="1" applyFill="1" applyBorder="1" applyAlignment="1">
      <alignment horizontal="center" wrapText="1"/>
    </xf>
    <xf numFmtId="0" fontId="25" fillId="0" borderId="0" xfId="0" applyFont="1"/>
    <xf numFmtId="0" fontId="20" fillId="0" borderId="0" xfId="0" applyFont="1" applyAlignment="1">
      <alignment vertical="center"/>
    </xf>
    <xf numFmtId="0" fontId="25" fillId="0" borderId="0" xfId="0" applyFont="1" applyAlignment="1">
      <alignment vertical="center"/>
    </xf>
    <xf numFmtId="14" fontId="30" fillId="6" borderId="26" xfId="1" applyNumberFormat="1" applyFont="1" applyFill="1" applyBorder="1" applyAlignment="1" applyProtection="1">
      <alignment horizontal="left" vertical="center"/>
      <protection locked="0"/>
    </xf>
    <xf numFmtId="9" fontId="10" fillId="0" borderId="0" xfId="3" applyFont="1"/>
    <xf numFmtId="9" fontId="10" fillId="0" borderId="0" xfId="0" applyNumberFormat="1" applyFont="1"/>
    <xf numFmtId="14" fontId="10" fillId="0" borderId="0" xfId="0" applyNumberFormat="1" applyFont="1"/>
    <xf numFmtId="0" fontId="12" fillId="0" borderId="0" xfId="0" applyFont="1" applyAlignment="1">
      <alignment horizontal="right" vertical="center"/>
    </xf>
    <xf numFmtId="164" fontId="12" fillId="6" borderId="17" xfId="0" applyNumberFormat="1" applyFont="1" applyFill="1" applyBorder="1" applyAlignment="1">
      <alignment horizontal="center" vertical="center"/>
    </xf>
    <xf numFmtId="165" fontId="12" fillId="6" borderId="17" xfId="0" applyNumberFormat="1" applyFont="1" applyFill="1" applyBorder="1" applyAlignment="1">
      <alignment horizontal="center" vertical="center"/>
    </xf>
    <xf numFmtId="9" fontId="12" fillId="0" borderId="0" xfId="3" applyFont="1"/>
    <xf numFmtId="0" fontId="17" fillId="4" borderId="11" xfId="0" applyFont="1" applyFill="1" applyBorder="1"/>
    <xf numFmtId="0" fontId="10" fillId="4" borderId="12" xfId="0" applyFont="1" applyFill="1" applyBorder="1"/>
    <xf numFmtId="0" fontId="12" fillId="7" borderId="1" xfId="0" applyFont="1" applyFill="1" applyBorder="1" applyAlignment="1">
      <alignment horizontal="center"/>
    </xf>
    <xf numFmtId="9" fontId="12" fillId="7" borderId="1" xfId="3" applyFont="1" applyFill="1" applyBorder="1" applyAlignment="1">
      <alignment horizontal="center"/>
    </xf>
    <xf numFmtId="0" fontId="15" fillId="5" borderId="13" xfId="0" applyFont="1" applyFill="1" applyBorder="1"/>
    <xf numFmtId="0" fontId="15" fillId="5" borderId="1" xfId="0" applyFont="1" applyFill="1" applyBorder="1"/>
    <xf numFmtId="9" fontId="10" fillId="0" borderId="1" xfId="3" applyFont="1" applyBorder="1"/>
    <xf numFmtId="0" fontId="12" fillId="0" borderId="13" xfId="0" applyFont="1" applyBorder="1"/>
    <xf numFmtId="0" fontId="12" fillId="0" borderId="1" xfId="0" applyFont="1" applyBorder="1"/>
    <xf numFmtId="164" fontId="12" fillId="7" borderId="1" xfId="3" applyNumberFormat="1" applyFont="1" applyFill="1" applyBorder="1" applyAlignment="1">
      <alignment horizontal="center"/>
    </xf>
    <xf numFmtId="167" fontId="10" fillId="0" borderId="1" xfId="3" applyNumberFormat="1" applyFont="1" applyBorder="1"/>
    <xf numFmtId="0" fontId="10" fillId="0" borderId="13" xfId="0" applyFont="1" applyBorder="1"/>
    <xf numFmtId="0" fontId="12" fillId="0" borderId="1" xfId="0" applyFont="1" applyBorder="1" applyAlignment="1">
      <alignment horizontal="center" wrapText="1"/>
    </xf>
    <xf numFmtId="9" fontId="12" fillId="0" borderId="1" xfId="3" applyFont="1" applyBorder="1" applyAlignment="1">
      <alignment horizontal="center" wrapText="1"/>
    </xf>
    <xf numFmtId="0" fontId="10" fillId="0" borderId="23" xfId="0" applyFont="1" applyBorder="1"/>
    <xf numFmtId="9" fontId="10" fillId="0" borderId="24" xfId="3" applyFont="1" applyBorder="1"/>
    <xf numFmtId="0" fontId="10" fillId="0" borderId="24" xfId="0" applyFont="1" applyBorder="1"/>
    <xf numFmtId="9" fontId="10" fillId="0" borderId="25" xfId="3" applyFont="1" applyBorder="1"/>
    <xf numFmtId="0" fontId="12" fillId="0" borderId="15" xfId="0" applyFont="1" applyBorder="1"/>
    <xf numFmtId="9" fontId="10" fillId="0" borderId="15" xfId="3" applyFont="1" applyBorder="1"/>
    <xf numFmtId="0" fontId="10" fillId="0" borderId="14" xfId="0" applyFont="1" applyBorder="1"/>
    <xf numFmtId="9" fontId="10" fillId="0" borderId="0" xfId="3" applyFont="1" applyBorder="1"/>
    <xf numFmtId="0" fontId="12" fillId="0" borderId="14" xfId="0" applyFont="1" applyBorder="1"/>
    <xf numFmtId="0" fontId="10" fillId="0" borderId="11" xfId="0" applyFont="1" applyBorder="1"/>
    <xf numFmtId="0" fontId="10" fillId="0" borderId="16" xfId="0" applyFont="1" applyBorder="1"/>
    <xf numFmtId="14" fontId="10" fillId="0" borderId="0" xfId="0" applyNumberFormat="1" applyFont="1" applyAlignment="1">
      <alignment vertical="center"/>
    </xf>
    <xf numFmtId="0" fontId="10" fillId="6" borderId="17" xfId="0" applyFont="1" applyFill="1" applyBorder="1" applyAlignment="1">
      <alignment horizontal="center" wrapText="1"/>
    </xf>
    <xf numFmtId="0" fontId="10" fillId="0" borderId="17" xfId="0" applyFont="1" applyBorder="1" applyAlignment="1">
      <alignment horizontal="center"/>
    </xf>
    <xf numFmtId="165" fontId="12" fillId="0" borderId="0" xfId="0" applyNumberFormat="1" applyFont="1" applyAlignment="1">
      <alignment horizontal="center" vertical="center"/>
    </xf>
    <xf numFmtId="0" fontId="12" fillId="7" borderId="22" xfId="0" applyFont="1" applyFill="1" applyBorder="1" applyAlignment="1">
      <alignment horizontal="center"/>
    </xf>
    <xf numFmtId="9" fontId="12" fillId="7" borderId="22" xfId="3" applyFont="1" applyFill="1" applyBorder="1" applyAlignment="1">
      <alignment horizontal="center"/>
    </xf>
    <xf numFmtId="0" fontId="12" fillId="7" borderId="22" xfId="0" applyFont="1" applyFill="1" applyBorder="1" applyAlignment="1">
      <alignment horizontal="center" wrapText="1"/>
    </xf>
    <xf numFmtId="9" fontId="12" fillId="7" borderId="22" xfId="3" applyFont="1" applyFill="1" applyBorder="1" applyAlignment="1">
      <alignment horizontal="center" wrapText="1"/>
    </xf>
    <xf numFmtId="0" fontId="10" fillId="7" borderId="11" xfId="0" applyFont="1" applyFill="1" applyBorder="1"/>
    <xf numFmtId="0" fontId="10" fillId="7" borderId="16" xfId="0" applyFont="1" applyFill="1" applyBorder="1"/>
    <xf numFmtId="0" fontId="10" fillId="0" borderId="30" xfId="0" applyFont="1" applyBorder="1" applyAlignment="1">
      <alignment vertical="center" wrapText="1"/>
    </xf>
    <xf numFmtId="0" fontId="10" fillId="0" borderId="30" xfId="0" applyFont="1" applyBorder="1" applyAlignment="1">
      <alignment horizontal="left" vertical="center" wrapText="1" indent="2"/>
    </xf>
    <xf numFmtId="0" fontId="10" fillId="0" borderId="28" xfId="0" applyFont="1" applyBorder="1" applyAlignment="1">
      <alignment horizontal="left" vertical="center" wrapText="1" indent="2"/>
    </xf>
    <xf numFmtId="0" fontId="10" fillId="0" borderId="37" xfId="0" applyFont="1" applyBorder="1" applyAlignment="1">
      <alignment horizontal="left" vertical="center" wrapText="1" indent="2"/>
    </xf>
    <xf numFmtId="0" fontId="37" fillId="0" borderId="0" xfId="0" applyFont="1"/>
    <xf numFmtId="0" fontId="10" fillId="0" borderId="0" xfId="0" applyFont="1" applyAlignment="1">
      <alignment horizontal="center" vertical="center" wrapText="1"/>
    </xf>
    <xf numFmtId="0" fontId="10" fillId="0" borderId="15" xfId="0" applyFont="1" applyBorder="1" applyAlignment="1">
      <alignment horizontal="center" wrapText="1"/>
    </xf>
    <xf numFmtId="14" fontId="10" fillId="0" borderId="15" xfId="0" applyNumberFormat="1" applyFont="1" applyBorder="1" applyAlignment="1">
      <alignment horizontal="center" wrapText="1"/>
    </xf>
    <xf numFmtId="0" fontId="10" fillId="0" borderId="1" xfId="0" applyFont="1" applyBorder="1" applyAlignment="1">
      <alignment horizontal="center" wrapText="1"/>
    </xf>
    <xf numFmtId="14" fontId="10" fillId="0" borderId="1" xfId="0" applyNumberFormat="1" applyFont="1" applyBorder="1" applyAlignment="1">
      <alignment horizontal="center" wrapText="1"/>
    </xf>
    <xf numFmtId="14" fontId="10" fillId="3" borderId="15" xfId="0" applyNumberFormat="1" applyFont="1" applyFill="1" applyBorder="1" applyAlignment="1">
      <alignment horizontal="center" wrapText="1"/>
    </xf>
    <xf numFmtId="0" fontId="10" fillId="3" borderId="15" xfId="0" applyFont="1" applyFill="1" applyBorder="1" applyAlignment="1">
      <alignment horizontal="center" wrapText="1"/>
    </xf>
    <xf numFmtId="18" fontId="10" fillId="0" borderId="15" xfId="0" applyNumberFormat="1" applyFont="1" applyBorder="1" applyAlignment="1">
      <alignment horizontal="center" wrapText="1"/>
    </xf>
    <xf numFmtId="14" fontId="10" fillId="3" borderId="1" xfId="0" applyNumberFormat="1" applyFont="1" applyFill="1" applyBorder="1" applyAlignment="1">
      <alignment horizontal="center" wrapText="1"/>
    </xf>
    <xf numFmtId="0" fontId="10" fillId="3" borderId="1" xfId="0" applyFont="1" applyFill="1" applyBorder="1" applyAlignment="1">
      <alignment horizontal="center" wrapText="1"/>
    </xf>
    <xf numFmtId="18" fontId="10" fillId="0" borderId="1" xfId="0" applyNumberFormat="1" applyFont="1" applyBorder="1" applyAlignment="1">
      <alignment horizontal="center" wrapText="1"/>
    </xf>
    <xf numFmtId="0" fontId="17" fillId="4" borderId="5" xfId="0" applyFont="1" applyFill="1" applyBorder="1" applyAlignment="1">
      <alignment horizontal="center" vertical="center"/>
    </xf>
    <xf numFmtId="0" fontId="17" fillId="4" borderId="6" xfId="0" applyFont="1" applyFill="1" applyBorder="1" applyAlignment="1">
      <alignment horizontal="center" vertical="center"/>
    </xf>
    <xf numFmtId="0" fontId="15" fillId="11" borderId="13" xfId="0" applyFont="1" applyFill="1" applyBorder="1"/>
    <xf numFmtId="0" fontId="15" fillId="11" borderId="21" xfId="0" applyFont="1" applyFill="1" applyBorder="1"/>
    <xf numFmtId="0" fontId="15" fillId="11" borderId="1" xfId="0" applyFont="1" applyFill="1" applyBorder="1"/>
    <xf numFmtId="0" fontId="15" fillId="11" borderId="13" xfId="0" applyFont="1" applyFill="1" applyBorder="1" applyAlignment="1">
      <alignment vertical="center" wrapText="1"/>
    </xf>
    <xf numFmtId="0" fontId="10" fillId="0" borderId="22" xfId="0" applyFont="1" applyBorder="1"/>
    <xf numFmtId="9" fontId="10" fillId="0" borderId="22" xfId="3" applyFont="1" applyBorder="1"/>
    <xf numFmtId="0" fontId="10" fillId="0" borderId="43" xfId="0" applyFont="1" applyBorder="1"/>
    <xf numFmtId="9" fontId="10" fillId="0" borderId="44" xfId="3" applyFont="1" applyBorder="1"/>
    <xf numFmtId="0" fontId="10" fillId="0" borderId="44" xfId="0" applyFont="1" applyBorder="1"/>
    <xf numFmtId="9" fontId="10" fillId="0" borderId="45" xfId="3" applyFont="1" applyBorder="1"/>
    <xf numFmtId="0" fontId="15" fillId="11" borderId="21" xfId="0" applyFont="1" applyFill="1" applyBorder="1" applyAlignment="1">
      <alignment vertical="center"/>
    </xf>
    <xf numFmtId="0" fontId="12" fillId="7" borderId="22" xfId="0" applyFont="1" applyFill="1" applyBorder="1" applyAlignment="1">
      <alignment horizontal="center" vertical="center" wrapText="1"/>
    </xf>
    <xf numFmtId="9" fontId="12" fillId="7" borderId="22" xfId="3" applyFont="1" applyFill="1" applyBorder="1" applyAlignment="1">
      <alignment horizontal="center" vertical="center" wrapText="1"/>
    </xf>
    <xf numFmtId="0" fontId="22" fillId="11" borderId="4" xfId="0" applyFont="1" applyFill="1" applyBorder="1" applyAlignment="1">
      <alignment horizontal="center" vertical="center" wrapText="1"/>
    </xf>
    <xf numFmtId="0" fontId="25" fillId="12" borderId="26" xfId="0" applyFont="1" applyFill="1" applyBorder="1" applyAlignment="1">
      <alignment horizontal="center" vertical="center" wrapText="1"/>
    </xf>
    <xf numFmtId="0" fontId="10" fillId="0" borderId="30" xfId="0" applyFont="1" applyBorder="1" applyAlignment="1">
      <alignment horizontal="left" vertical="top" wrapText="1" indent="2"/>
    </xf>
    <xf numFmtId="0" fontId="10" fillId="0" borderId="27" xfId="0" applyFont="1" applyBorder="1" applyAlignment="1">
      <alignment horizontal="left" vertical="center" wrapText="1" indent="2"/>
    </xf>
    <xf numFmtId="0" fontId="10" fillId="0" borderId="27" xfId="0" applyFont="1" applyBorder="1" applyAlignment="1">
      <alignment horizontal="left" vertical="top" wrapText="1" indent="2"/>
    </xf>
    <xf numFmtId="0" fontId="10" fillId="0" borderId="29" xfId="0" applyFont="1" applyBorder="1" applyAlignment="1">
      <alignment horizontal="left" vertical="center" wrapText="1" indent="2"/>
    </xf>
    <xf numFmtId="0" fontId="25" fillId="0" borderId="27" xfId="0" applyFont="1" applyBorder="1" applyAlignment="1">
      <alignment horizontal="center" vertical="center" wrapText="1"/>
    </xf>
    <xf numFmtId="0" fontId="4" fillId="2" borderId="0" xfId="2" applyFont="1" applyFill="1"/>
    <xf numFmtId="0" fontId="4" fillId="2" borderId="0" xfId="2" quotePrefix="1" applyFont="1" applyFill="1"/>
    <xf numFmtId="0" fontId="2" fillId="2" borderId="0" xfId="2" quotePrefix="1" applyFill="1"/>
    <xf numFmtId="49" fontId="8" fillId="2" borderId="2" xfId="1" applyNumberFormat="1" applyFont="1" applyFill="1" applyBorder="1" applyAlignment="1">
      <alignment horizontal="left" vertical="center"/>
    </xf>
    <xf numFmtId="49" fontId="8" fillId="2" borderId="3" xfId="1" applyNumberFormat="1" applyFont="1" applyFill="1" applyBorder="1" applyAlignment="1">
      <alignment horizontal="left" vertical="center"/>
    </xf>
    <xf numFmtId="49" fontId="8" fillId="2" borderId="4" xfId="1" applyNumberFormat="1" applyFont="1" applyFill="1" applyBorder="1" applyAlignment="1">
      <alignment horizontal="left" vertical="center"/>
    </xf>
    <xf numFmtId="0" fontId="40" fillId="2" borderId="0" xfId="1" applyFont="1" applyFill="1" applyAlignment="1">
      <alignment horizontal="left" vertical="top" wrapText="1"/>
    </xf>
    <xf numFmtId="0" fontId="3" fillId="2" borderId="0" xfId="1" applyFont="1" applyFill="1" applyAlignment="1">
      <alignment horizontal="left" vertical="top" wrapText="1"/>
    </xf>
    <xf numFmtId="0" fontId="41" fillId="0" borderId="0" xfId="0" applyFont="1" applyAlignment="1">
      <alignment vertical="center"/>
    </xf>
    <xf numFmtId="49" fontId="44" fillId="2" borderId="0" xfId="1" applyNumberFormat="1" applyFont="1" applyFill="1" applyAlignment="1">
      <alignment horizontal="left" vertical="center"/>
    </xf>
    <xf numFmtId="0" fontId="3" fillId="9" borderId="0" xfId="1" applyFont="1" applyFill="1" applyAlignment="1">
      <alignment horizontal="left"/>
    </xf>
    <xf numFmtId="0" fontId="45" fillId="9" borderId="0" xfId="1" applyFont="1" applyFill="1" applyAlignment="1">
      <alignment horizontal="left"/>
    </xf>
    <xf numFmtId="0" fontId="30" fillId="10" borderId="33" xfId="1" applyFont="1" applyFill="1" applyBorder="1" applyAlignment="1" applyProtection="1">
      <alignment horizontal="left" vertical="center"/>
      <protection locked="0"/>
    </xf>
    <xf numFmtId="0" fontId="30" fillId="10" borderId="34" xfId="1" applyFont="1" applyFill="1" applyBorder="1" applyAlignment="1" applyProtection="1">
      <alignment horizontal="left" vertical="center"/>
      <protection locked="0"/>
    </xf>
    <xf numFmtId="0" fontId="30" fillId="10" borderId="35" xfId="1" applyFont="1" applyFill="1" applyBorder="1" applyAlignment="1" applyProtection="1">
      <alignment horizontal="left" vertical="center"/>
      <protection locked="0"/>
    </xf>
    <xf numFmtId="0" fontId="10" fillId="0" borderId="0" xfId="0" applyFont="1" applyAlignment="1">
      <alignment horizontal="right" wrapText="1"/>
    </xf>
    <xf numFmtId="0" fontId="11" fillId="6" borderId="18" xfId="0" applyFont="1" applyFill="1" applyBorder="1" applyAlignment="1">
      <alignment horizontal="center" vertical="center"/>
    </xf>
    <xf numFmtId="0" fontId="11" fillId="6" borderId="19" xfId="0" applyFont="1" applyFill="1" applyBorder="1" applyAlignment="1">
      <alignment horizontal="center" vertical="center"/>
    </xf>
    <xf numFmtId="0" fontId="11" fillId="6" borderId="20" xfId="0" applyFont="1" applyFill="1" applyBorder="1" applyAlignment="1">
      <alignment horizontal="center" vertical="center"/>
    </xf>
    <xf numFmtId="164" fontId="15" fillId="4" borderId="1" xfId="0" applyNumberFormat="1" applyFont="1" applyFill="1" applyBorder="1" applyAlignment="1">
      <alignment horizontal="center"/>
    </xf>
    <xf numFmtId="0" fontId="15" fillId="4" borderId="1" xfId="0" applyFont="1" applyFill="1" applyBorder="1" applyAlignment="1">
      <alignment horizontal="center"/>
    </xf>
    <xf numFmtId="164" fontId="15" fillId="4" borderId="21" xfId="0" applyNumberFormat="1" applyFont="1" applyFill="1" applyBorder="1" applyAlignment="1">
      <alignment horizontal="center"/>
    </xf>
    <xf numFmtId="164" fontId="15" fillId="4" borderId="32" xfId="0" applyNumberFormat="1" applyFont="1" applyFill="1" applyBorder="1" applyAlignment="1">
      <alignment horizontal="center"/>
    </xf>
    <xf numFmtId="0" fontId="15" fillId="4" borderId="21" xfId="0" applyFont="1" applyFill="1" applyBorder="1" applyAlignment="1">
      <alignment horizontal="center"/>
    </xf>
    <xf numFmtId="0" fontId="15" fillId="4" borderId="32" xfId="0" applyFont="1" applyFill="1" applyBorder="1" applyAlignment="1">
      <alignment horizontal="center"/>
    </xf>
    <xf numFmtId="49" fontId="8" fillId="2" borderId="2" xfId="1" applyNumberFormat="1" applyFont="1" applyFill="1" applyBorder="1" applyAlignment="1">
      <alignment horizontal="left" vertical="center"/>
    </xf>
    <xf numFmtId="49" fontId="8" fillId="2" borderId="3" xfId="1" applyNumberFormat="1" applyFont="1" applyFill="1" applyBorder="1" applyAlignment="1">
      <alignment horizontal="left" vertical="center"/>
    </xf>
    <xf numFmtId="49" fontId="8" fillId="2" borderId="4" xfId="1" applyNumberFormat="1" applyFont="1" applyFill="1" applyBorder="1" applyAlignment="1">
      <alignment horizontal="left" vertical="center"/>
    </xf>
    <xf numFmtId="0" fontId="12" fillId="0" borderId="0" xfId="0" applyFont="1" applyAlignment="1">
      <alignment horizontal="right" vertical="center"/>
    </xf>
    <xf numFmtId="0" fontId="10" fillId="0" borderId="13" xfId="0" applyFont="1" applyBorder="1" applyAlignment="1">
      <alignment horizontal="right" wrapText="1"/>
    </xf>
    <xf numFmtId="0" fontId="11" fillId="6" borderId="17" xfId="0" applyFont="1" applyFill="1" applyBorder="1" applyAlignment="1">
      <alignment horizontal="center" vertical="center" wrapText="1"/>
    </xf>
    <xf numFmtId="0" fontId="37" fillId="0" borderId="0" xfId="0" applyFont="1"/>
    <xf numFmtId="49" fontId="38" fillId="2" borderId="0" xfId="1" applyNumberFormat="1" applyFont="1" applyFill="1" applyAlignment="1">
      <alignment horizontal="left" vertical="center"/>
    </xf>
    <xf numFmtId="0" fontId="12" fillId="0" borderId="18" xfId="0" applyFont="1" applyBorder="1" applyAlignment="1">
      <alignment horizontal="center"/>
    </xf>
    <xf numFmtId="0" fontId="12" fillId="0" borderId="19" xfId="0" applyFont="1" applyBorder="1" applyAlignment="1">
      <alignment horizontal="center"/>
    </xf>
    <xf numFmtId="0" fontId="12" fillId="0" borderId="20" xfId="0" applyFont="1" applyBorder="1" applyAlignment="1">
      <alignment horizontal="center"/>
    </xf>
    <xf numFmtId="0" fontId="39" fillId="0" borderId="0" xfId="0" applyFont="1" applyAlignment="1">
      <alignment horizontal="center"/>
    </xf>
    <xf numFmtId="49" fontId="8" fillId="2" borderId="0" xfId="1" applyNumberFormat="1" applyFont="1" applyFill="1" applyAlignment="1">
      <alignment horizontal="left" vertical="center"/>
    </xf>
    <xf numFmtId="49" fontId="9" fillId="2" borderId="0" xfId="1" applyNumberFormat="1" applyFont="1" applyFill="1" applyAlignment="1">
      <alignment horizontal="left"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0" fillId="0" borderId="36" xfId="0" applyFont="1" applyBorder="1" applyAlignment="1">
      <alignment horizontal="right" wrapText="1"/>
    </xf>
    <xf numFmtId="0" fontId="25" fillId="0" borderId="0" xfId="0" applyFont="1" applyAlignment="1">
      <alignment horizontal="center" wrapText="1"/>
    </xf>
    <xf numFmtId="0" fontId="10" fillId="0" borderId="0" xfId="0" applyFont="1" applyAlignment="1">
      <alignment horizontal="center" wrapText="1"/>
    </xf>
    <xf numFmtId="0" fontId="10" fillId="0" borderId="36" xfId="0" applyFont="1" applyBorder="1" applyAlignment="1">
      <alignment horizontal="center" wrapText="1"/>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11" fillId="2" borderId="20" xfId="0" applyFont="1" applyFill="1" applyBorder="1" applyAlignment="1">
      <alignment horizontal="center" vertical="center"/>
    </xf>
    <xf numFmtId="0" fontId="12" fillId="0" borderId="36" xfId="0" applyFont="1" applyBorder="1" applyAlignment="1">
      <alignment horizontal="right" vertical="center"/>
    </xf>
    <xf numFmtId="0" fontId="25" fillId="0" borderId="36" xfId="0" applyFont="1" applyBorder="1" applyAlignment="1">
      <alignment horizontal="center" wrapText="1"/>
    </xf>
    <xf numFmtId="0" fontId="2" fillId="0" borderId="40" xfId="2" applyBorder="1" applyAlignment="1">
      <alignment horizontal="center" vertical="center" wrapText="1"/>
    </xf>
    <xf numFmtId="0" fontId="2" fillId="0" borderId="41" xfId="2" applyBorder="1" applyAlignment="1">
      <alignment horizontal="center" vertical="center" wrapText="1"/>
    </xf>
    <xf numFmtId="0" fontId="2" fillId="0" borderId="42" xfId="2" applyBorder="1" applyAlignment="1">
      <alignment horizontal="center" vertical="center" wrapText="1"/>
    </xf>
    <xf numFmtId="0" fontId="2" fillId="0" borderId="38" xfId="2" applyBorder="1" applyAlignment="1">
      <alignment horizontal="center" vertical="center" wrapText="1"/>
    </xf>
    <xf numFmtId="0" fontId="2" fillId="0" borderId="39" xfId="2" applyBorder="1" applyAlignment="1">
      <alignment horizontal="center" vertical="center" wrapText="1"/>
    </xf>
    <xf numFmtId="0" fontId="2" fillId="0" borderId="28" xfId="2" applyBorder="1" applyAlignment="1">
      <alignment horizontal="center" vertical="center" wrapText="1"/>
    </xf>
    <xf numFmtId="0" fontId="25" fillId="0" borderId="31" xfId="0" applyFont="1" applyBorder="1" applyAlignment="1">
      <alignment horizontal="center" vertical="center" wrapText="1"/>
    </xf>
    <xf numFmtId="0" fontId="25" fillId="0" borderId="29" xfId="0" applyFont="1" applyBorder="1" applyAlignment="1">
      <alignment horizontal="center" vertical="center" wrapText="1"/>
    </xf>
    <xf numFmtId="0" fontId="15" fillId="4" borderId="2" xfId="0" applyFont="1" applyFill="1" applyBorder="1" applyAlignment="1">
      <alignment horizontal="center" vertical="center"/>
    </xf>
    <xf numFmtId="0" fontId="15" fillId="4" borderId="3" xfId="0" applyFont="1" applyFill="1" applyBorder="1" applyAlignment="1">
      <alignment horizontal="center" vertical="center"/>
    </xf>
    <xf numFmtId="0" fontId="15" fillId="4" borderId="4" xfId="0" applyFont="1" applyFill="1" applyBorder="1" applyAlignment="1">
      <alignment horizontal="center" vertical="center"/>
    </xf>
    <xf numFmtId="0" fontId="25" fillId="0" borderId="27" xfId="0" applyFont="1" applyBorder="1" applyAlignment="1">
      <alignment horizontal="center" vertical="center" wrapText="1"/>
    </xf>
    <xf numFmtId="0" fontId="10" fillId="0" borderId="13" xfId="0" applyFont="1" applyBorder="1" applyAlignment="1">
      <alignment horizontal="center" wrapText="1"/>
    </xf>
    <xf numFmtId="0" fontId="10" fillId="0" borderId="0" xfId="0" applyFont="1" applyBorder="1" applyAlignment="1">
      <alignment horizontal="center" wrapText="1"/>
    </xf>
  </cellXfs>
  <cellStyles count="4">
    <cellStyle name="Hyperlink" xfId="2" builtinId="8"/>
    <cellStyle name="Normal" xfId="0" builtinId="0"/>
    <cellStyle name="Normal 2" xfId="1" xr:uid="{E7961793-452A-4BB2-A3C1-722589F2F600}"/>
    <cellStyle name="Percent" xfId="3" builtinId="5"/>
  </cellStyles>
  <dxfs count="0"/>
  <tableStyles count="0" defaultTableStyle="TableStyleMedium2" defaultPivotStyle="PivotStyleLight16"/>
  <colors>
    <mruColors>
      <color rgb="FF0563C1"/>
      <color rgb="FFC2DB6F"/>
      <color rgb="FF69498F"/>
      <color rgb="FF006DB7"/>
      <color rgb="FF98C11E"/>
      <color rgb="FFD663A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General Information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calc!$K$16</c:f>
              <c:strCache>
                <c:ptCount val="1"/>
                <c:pt idx="0">
                  <c:v>June-26</c:v>
                </c:pt>
              </c:strCache>
            </c:strRef>
          </c:tx>
          <c:spPr>
            <a:solidFill>
              <a:srgbClr val="006DB7"/>
            </a:solidFill>
            <a:ln>
              <a:noFill/>
            </a:ln>
            <a:effectLst/>
          </c:spPr>
          <c:invertIfNegative val="0"/>
          <c:cat>
            <c:strRef>
              <c:f>calc!$J$17:$J$20</c:f>
              <c:strCache>
                <c:ptCount val="4"/>
                <c:pt idx="0">
                  <c:v>Unit 1</c:v>
                </c:pt>
                <c:pt idx="3">
                  <c:v>Entire Facility</c:v>
                </c:pt>
              </c:strCache>
            </c:strRef>
          </c:cat>
          <c:val>
            <c:numRef>
              <c:f>calc!$K$17:$K$20</c:f>
              <c:numCache>
                <c:formatCode>0.0%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0-B138-42C3-BDBD-4E150F13E629}"/>
            </c:ext>
          </c:extLst>
        </c:ser>
        <c:ser>
          <c:idx val="1"/>
          <c:order val="1"/>
          <c:tx>
            <c:strRef>
              <c:f>calc!$L$16</c:f>
              <c:strCache>
                <c:ptCount val="1"/>
                <c:pt idx="0">
                  <c:v>YTD</c:v>
                </c:pt>
              </c:strCache>
            </c:strRef>
          </c:tx>
          <c:spPr>
            <a:solidFill>
              <a:srgbClr val="D663A6"/>
            </a:solidFill>
            <a:ln>
              <a:noFill/>
            </a:ln>
            <a:effectLst/>
          </c:spPr>
          <c:invertIfNegative val="0"/>
          <c:cat>
            <c:strRef>
              <c:f>calc!$J$17:$J$20</c:f>
              <c:strCache>
                <c:ptCount val="4"/>
                <c:pt idx="0">
                  <c:v>Unit 1</c:v>
                </c:pt>
                <c:pt idx="3">
                  <c:v>Entire Facility</c:v>
                </c:pt>
              </c:strCache>
            </c:strRef>
          </c:cat>
          <c:val>
            <c:numRef>
              <c:f>calc!$L$17:$L$20</c:f>
              <c:numCache>
                <c:formatCode>0.0%</c:formatCode>
                <c:ptCount val="4"/>
                <c:pt idx="0">
                  <c:v>0</c:v>
                </c:pt>
                <c:pt idx="1">
                  <c:v>0</c:v>
                </c:pt>
                <c:pt idx="2">
                  <c:v>0</c:v>
                </c:pt>
                <c:pt idx="3">
                  <c:v>0</c:v>
                </c:pt>
              </c:numCache>
            </c:numRef>
          </c:val>
          <c:extLst>
            <c:ext xmlns:c16="http://schemas.microsoft.com/office/drawing/2014/chart" uri="{C3380CC4-5D6E-409C-BE32-E72D297353CC}">
              <c16:uniqueId val="{00000001-B138-42C3-BDBD-4E150F13E629}"/>
            </c:ext>
          </c:extLst>
        </c:ser>
        <c:dLbls>
          <c:showLegendKey val="0"/>
          <c:showVal val="0"/>
          <c:showCatName val="0"/>
          <c:showSerName val="0"/>
          <c:showPercent val="0"/>
          <c:showBubbleSize val="0"/>
        </c:dLbls>
        <c:gapWidth val="150"/>
        <c:axId val="15571983"/>
        <c:axId val="15572399"/>
        <c:extLst/>
      </c:barChart>
      <c:catAx>
        <c:axId val="155719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72399"/>
        <c:crosses val="autoZero"/>
        <c:auto val="1"/>
        <c:lblAlgn val="ctr"/>
        <c:lblOffset val="100"/>
        <c:noMultiLvlLbl val="0"/>
      </c:catAx>
      <c:valAx>
        <c:axId val="1557239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1557198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%Falls w/ Injury by</a:t>
            </a:r>
            <a:r>
              <a:rPr lang="en-US" baseline="0"/>
              <a:t> Type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1"/>
          <c:tx>
            <c:strRef>
              <c:f>calc!$F$259:$F$260</c:f>
              <c:strCache>
                <c:ptCount val="2"/>
                <c:pt idx="0">
                  <c:v>June-26</c:v>
                </c:pt>
                <c:pt idx="1">
                  <c:v>%Falls by Prior Activity</c:v>
                </c:pt>
              </c:strCache>
            </c:strRef>
          </c:tx>
          <c:spPr>
            <a:solidFill>
              <a:srgbClr val="D663A6"/>
            </a:solidFill>
            <a:ln>
              <a:solidFill>
                <a:srgbClr val="D663A6"/>
              </a:solidFill>
            </a:ln>
            <a:effectLst/>
          </c:spPr>
          <c:invertIfNegative val="0"/>
          <c:cat>
            <c:multiLvlStrRef>
              <c:extLst>
                <c:ext xmlns:c15="http://schemas.microsoft.com/office/drawing/2012/chart" uri="{02D57815-91ED-43cb-92C2-25804820EDAC}">
                  <c15:fullRef>
                    <c15:sqref>calc!$C$261:$D$288</c15:sqref>
                  </c15:fullRef>
                </c:ext>
              </c:extLst>
              <c:f>(calc!$C$261:$D$262,calc!$C$265:$D$266,calc!$C$269:$D$270,calc!$C$273:$D$274,calc!$C$277:$D$278,calc!$C$281:$D$282,calc!$C$285:$D$286)</c:f>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Skin Tear</c:v>
                  </c:pt>
                  <c:pt idx="2">
                    <c:v>Confusion</c:v>
                  </c:pt>
                  <c:pt idx="4">
                    <c:v>Abrasion</c:v>
                  </c:pt>
                  <c:pt idx="6">
                    <c:v>Bone Fracture</c:v>
                  </c:pt>
                  <c:pt idx="8">
                    <c:v>Joint Dislocation</c:v>
                  </c:pt>
                  <c:pt idx="10">
                    <c:v>Closed Head Injury w/ Altered Consciousness</c:v>
                  </c:pt>
                  <c:pt idx="12">
                    <c:v>Subdural Hematoma</c:v>
                  </c:pt>
                </c:lvl>
              </c:multiLvlStrCache>
            </c:multiLvlStrRef>
          </c:cat>
          <c:val>
            <c:numRef>
              <c:extLst>
                <c:ext xmlns:c15="http://schemas.microsoft.com/office/drawing/2012/chart" uri="{02D57815-91ED-43cb-92C2-25804820EDAC}">
                  <c15:fullRef>
                    <c15:sqref>calc!$F$261:$F$288</c15:sqref>
                  </c15:fullRef>
                </c:ext>
              </c:extLst>
              <c:f>(calc!$F$261:$F$262,calc!$F$265:$F$266,calc!$F$269:$F$270,calc!$F$273:$F$274,calc!$F$277:$F$278,calc!$F$281:$F$282,calc!$F$285:$F$286)</c:f>
              <c:numCache>
                <c:formatCode>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A11C-41F7-87F3-AF13F83A26F0}"/>
            </c:ext>
          </c:extLst>
        </c:ser>
        <c:ser>
          <c:idx val="3"/>
          <c:order val="3"/>
          <c:tx>
            <c:strRef>
              <c:f>calc!$H$259:$H$260</c:f>
              <c:strCache>
                <c:ptCount val="2"/>
                <c:pt idx="0">
                  <c:v>YTD</c:v>
                </c:pt>
                <c:pt idx="1">
                  <c:v>%Falls by Prior Activity</c:v>
                </c:pt>
              </c:strCache>
            </c:strRef>
          </c:tx>
          <c:spPr>
            <a:solidFill>
              <a:srgbClr val="006DB7"/>
            </a:solidFill>
            <a:ln>
              <a:solidFill>
                <a:srgbClr val="006DB7"/>
              </a:solidFill>
            </a:ln>
            <a:effectLst/>
          </c:spPr>
          <c:invertIfNegative val="0"/>
          <c:cat>
            <c:multiLvlStrRef>
              <c:extLst>
                <c:ext xmlns:c15="http://schemas.microsoft.com/office/drawing/2012/chart" uri="{02D57815-91ED-43cb-92C2-25804820EDAC}">
                  <c15:fullRef>
                    <c15:sqref>calc!$C$261:$D$288</c15:sqref>
                  </c15:fullRef>
                </c:ext>
              </c:extLst>
              <c:f>(calc!$C$261:$D$262,calc!$C$265:$D$266,calc!$C$269:$D$270,calc!$C$273:$D$274,calc!$C$277:$D$278,calc!$C$281:$D$282,calc!$C$285:$D$286)</c:f>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Skin Tear</c:v>
                  </c:pt>
                  <c:pt idx="2">
                    <c:v>Confusion</c:v>
                  </c:pt>
                  <c:pt idx="4">
                    <c:v>Abrasion</c:v>
                  </c:pt>
                  <c:pt idx="6">
                    <c:v>Bone Fracture</c:v>
                  </c:pt>
                  <c:pt idx="8">
                    <c:v>Joint Dislocation</c:v>
                  </c:pt>
                  <c:pt idx="10">
                    <c:v>Closed Head Injury w/ Altered Consciousness</c:v>
                  </c:pt>
                  <c:pt idx="12">
                    <c:v>Subdural Hematoma</c:v>
                  </c:pt>
                </c:lvl>
              </c:multiLvlStrCache>
            </c:multiLvlStrRef>
          </c:cat>
          <c:val>
            <c:numRef>
              <c:extLst>
                <c:ext xmlns:c15="http://schemas.microsoft.com/office/drawing/2012/chart" uri="{02D57815-91ED-43cb-92C2-25804820EDAC}">
                  <c15:fullRef>
                    <c15:sqref>calc!$H$261:$H$288</c15:sqref>
                  </c15:fullRef>
                </c:ext>
              </c:extLst>
              <c:f>(calc!$H$261:$H$262,calc!$H$265:$H$266,calc!$H$269:$H$270,calc!$H$273:$H$274,calc!$H$277:$H$278,calc!$H$281:$H$282,calc!$H$285:$H$286)</c:f>
              <c:numCache>
                <c:formatCode>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A11C-41F7-87F3-AF13F83A26F0}"/>
            </c:ext>
          </c:extLst>
        </c:ser>
        <c:dLbls>
          <c:showLegendKey val="0"/>
          <c:showVal val="0"/>
          <c:showCatName val="0"/>
          <c:showSerName val="0"/>
          <c:showPercent val="0"/>
          <c:showBubbleSize val="0"/>
        </c:dLbls>
        <c:gapWidth val="182"/>
        <c:axId val="692465824"/>
        <c:axId val="692466240"/>
        <c:extLst>
          <c:ext xmlns:c15="http://schemas.microsoft.com/office/drawing/2012/chart" uri="{02D57815-91ED-43cb-92C2-25804820EDAC}">
            <c15:filteredBarSeries>
              <c15:ser>
                <c:idx val="0"/>
                <c:order val="0"/>
                <c:tx>
                  <c:strRef>
                    <c:extLst>
                      <c:ext uri="{02D57815-91ED-43cb-92C2-25804820EDAC}">
                        <c15:formulaRef>
                          <c15:sqref>calc!$E$259:$E$260</c15:sqref>
                        </c15:formulaRef>
                      </c:ext>
                    </c:extLst>
                    <c:strCache>
                      <c:ptCount val="2"/>
                      <c:pt idx="0">
                        <c:v>June-26</c:v>
                      </c:pt>
                      <c:pt idx="1">
                        <c:v>#Falls by Prior Activity</c:v>
                      </c:pt>
                    </c:strCache>
                  </c:strRef>
                </c:tx>
                <c:spPr>
                  <a:solidFill>
                    <a:schemeClr val="accent1"/>
                  </a:solidFill>
                  <a:ln>
                    <a:noFill/>
                  </a:ln>
                  <a:effectLst/>
                </c:spPr>
                <c:invertIfNegative val="0"/>
                <c:cat>
                  <c:multiLvlStrRef>
                    <c:extLst>
                      <c:ext uri="{02D57815-91ED-43cb-92C2-25804820EDAC}">
                        <c15:fullRef>
                          <c15:sqref>calc!$C$261:$D$288</c15:sqref>
                        </c15:fullRef>
                        <c15:formulaRef>
                          <c15:sqref>(calc!$C$261:$D$262,calc!$C$265:$D$266,calc!$C$269:$D$270,calc!$C$273:$D$274,calc!$C$277:$D$278,calc!$C$281:$D$282,calc!$C$285:$D$286)</c15:sqref>
                        </c15:formulaRef>
                      </c:ext>
                    </c:extLst>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Skin Tear</c:v>
                        </c:pt>
                        <c:pt idx="2">
                          <c:v>Confusion</c:v>
                        </c:pt>
                        <c:pt idx="4">
                          <c:v>Abrasion</c:v>
                        </c:pt>
                        <c:pt idx="6">
                          <c:v>Bone Fracture</c:v>
                        </c:pt>
                        <c:pt idx="8">
                          <c:v>Joint Dislocation</c:v>
                        </c:pt>
                        <c:pt idx="10">
                          <c:v>Closed Head Injury w/ Altered Consciousness</c:v>
                        </c:pt>
                        <c:pt idx="12">
                          <c:v>Subdural Hematoma</c:v>
                        </c:pt>
                      </c:lvl>
                    </c:multiLvlStrCache>
                  </c:multiLvlStrRef>
                </c:cat>
                <c:val>
                  <c:numRef>
                    <c:extLst>
                      <c:ext uri="{02D57815-91ED-43cb-92C2-25804820EDAC}">
                        <c15:fullRef>
                          <c15:sqref>calc!$E$261:$E$288</c15:sqref>
                        </c15:fullRef>
                        <c15:formulaRef>
                          <c15:sqref>(calc!$E$261:$E$262,calc!$E$265:$E$266,calc!$E$269:$E$270,calc!$E$273:$E$274,calc!$E$277:$E$278,calc!$E$281:$E$282,calc!$E$285:$E$286)</c15:sqref>
                        </c15:formulaRef>
                      </c:ext>
                    </c:extLst>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A11C-41F7-87F3-AF13F83A26F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calc!$G$259:$G$260</c15:sqref>
                        </c15:formulaRef>
                      </c:ext>
                    </c:extLst>
                    <c:strCache>
                      <c:ptCount val="2"/>
                      <c:pt idx="0">
                        <c:v>YTD</c:v>
                      </c:pt>
                      <c:pt idx="1">
                        <c:v>#Falls by Prior Activity</c:v>
                      </c:pt>
                    </c:strCache>
                  </c:strRef>
                </c:tx>
                <c:spPr>
                  <a:solidFill>
                    <a:schemeClr val="accent3"/>
                  </a:solidFill>
                  <a:ln>
                    <a:noFill/>
                  </a:ln>
                  <a:effectLst/>
                </c:spPr>
                <c:invertIfNegative val="0"/>
                <c:cat>
                  <c:multiLvlStrRef>
                    <c:extLst>
                      <c:ext xmlns:c15="http://schemas.microsoft.com/office/drawing/2012/chart" uri="{02D57815-91ED-43cb-92C2-25804820EDAC}">
                        <c15:fullRef>
                          <c15:sqref>calc!$C$261:$D$288</c15:sqref>
                        </c15:fullRef>
                        <c15:formulaRef>
                          <c15:sqref>(calc!$C$261:$D$262,calc!$C$265:$D$266,calc!$C$269:$D$270,calc!$C$273:$D$274,calc!$C$277:$D$278,calc!$C$281:$D$282,calc!$C$285:$D$286)</c15:sqref>
                        </c15:formulaRef>
                      </c:ext>
                    </c:extLst>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Skin Tear</c:v>
                        </c:pt>
                        <c:pt idx="2">
                          <c:v>Confusion</c:v>
                        </c:pt>
                        <c:pt idx="4">
                          <c:v>Abrasion</c:v>
                        </c:pt>
                        <c:pt idx="6">
                          <c:v>Bone Fracture</c:v>
                        </c:pt>
                        <c:pt idx="8">
                          <c:v>Joint Dislocation</c:v>
                        </c:pt>
                        <c:pt idx="10">
                          <c:v>Closed Head Injury w/ Altered Consciousness</c:v>
                        </c:pt>
                        <c:pt idx="12">
                          <c:v>Subdural Hematoma</c:v>
                        </c:pt>
                      </c:lvl>
                    </c:multiLvlStrCache>
                  </c:multiLvlStrRef>
                </c:cat>
                <c:val>
                  <c:numRef>
                    <c:extLst>
                      <c:ext xmlns:c15="http://schemas.microsoft.com/office/drawing/2012/chart" uri="{02D57815-91ED-43cb-92C2-25804820EDAC}">
                        <c15:fullRef>
                          <c15:sqref>calc!$G$261:$G$288</c15:sqref>
                        </c15:fullRef>
                        <c15:formulaRef>
                          <c15:sqref>(calc!$G$261:$G$262,calc!$G$265:$G$266,calc!$G$269:$G$270,calc!$G$273:$G$274,calc!$G$277:$G$278,calc!$G$281:$G$282,calc!$G$285:$G$286)</c15:sqref>
                        </c15:formulaRef>
                      </c:ext>
                    </c:extLst>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3-A11C-41F7-87F3-AF13F83A26F0}"/>
                  </c:ext>
                </c:extLst>
              </c15:ser>
            </c15:filteredBarSeries>
          </c:ext>
        </c:extLst>
      </c:barChart>
      <c:catAx>
        <c:axId val="69246582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2466240"/>
        <c:crosses val="autoZero"/>
        <c:auto val="1"/>
        <c:lblAlgn val="ctr"/>
        <c:lblOffset val="100"/>
        <c:noMultiLvlLbl val="0"/>
      </c:catAx>
      <c:valAx>
        <c:axId val="692466240"/>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2465824"/>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Injury Treatment by Location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calc!$F$292:$F$293</c:f>
              <c:strCache>
                <c:ptCount val="2"/>
                <c:pt idx="0">
                  <c:v>June-26</c:v>
                </c:pt>
                <c:pt idx="1">
                  <c:v>%Falls by Treatment Location</c:v>
                </c:pt>
              </c:strCache>
            </c:strRef>
          </c:tx>
          <c:spPr>
            <a:solidFill>
              <a:srgbClr val="D663A6"/>
            </a:solidFill>
            <a:ln>
              <a:solidFill>
                <a:srgbClr val="D663A6"/>
              </a:solidFill>
            </a:ln>
            <a:effectLst/>
          </c:spPr>
          <c:invertIfNegative val="0"/>
          <c:cat>
            <c:multiLvlStrRef>
              <c:f>calc!$C$294:$D$305</c:f>
              <c:multiLvlStrCache>
                <c:ptCount val="10"/>
                <c:lvl>
                  <c:pt idx="0">
                    <c:v>Entire Facility</c:v>
                  </c:pt>
                  <c:pt idx="1">
                    <c:v>Unit 1</c:v>
                  </c:pt>
                  <c:pt idx="4">
                    <c:v>Entire Facility</c:v>
                  </c:pt>
                  <c:pt idx="5">
                    <c:v>Unit 1</c:v>
                  </c:pt>
                  <c:pt idx="8">
                    <c:v>Entire Facility</c:v>
                  </c:pt>
                  <c:pt idx="9">
                    <c:v>Unit 1</c:v>
                  </c:pt>
                </c:lvl>
                <c:lvl>
                  <c:pt idx="0">
                    <c:v>Treatment in Facility</c:v>
                  </c:pt>
                  <c:pt idx="4">
                    <c:v>Treatment in Emergency Room</c:v>
                  </c:pt>
                  <c:pt idx="8">
                    <c:v>Admission to Hospital</c:v>
                  </c:pt>
                </c:lvl>
              </c:multiLvlStrCache>
            </c:multiLvlStrRef>
          </c:cat>
          <c:val>
            <c:numRef>
              <c:f>calc!$F$294:$F$305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707-4848-BDDC-120F4F419B17}"/>
            </c:ext>
          </c:extLst>
        </c:ser>
        <c:ser>
          <c:idx val="3"/>
          <c:order val="3"/>
          <c:tx>
            <c:strRef>
              <c:f>calc!$H$292:$H$293</c:f>
              <c:strCache>
                <c:ptCount val="2"/>
                <c:pt idx="0">
                  <c:v>YTD</c:v>
                </c:pt>
                <c:pt idx="1">
                  <c:v>%Falls by Treatment Location</c:v>
                </c:pt>
              </c:strCache>
            </c:strRef>
          </c:tx>
          <c:spPr>
            <a:solidFill>
              <a:srgbClr val="006DB7"/>
            </a:solidFill>
            <a:ln>
              <a:solidFill>
                <a:srgbClr val="006DB7"/>
              </a:solidFill>
            </a:ln>
            <a:effectLst/>
          </c:spPr>
          <c:invertIfNegative val="0"/>
          <c:cat>
            <c:multiLvlStrRef>
              <c:f>calc!$C$294:$D$305</c:f>
              <c:multiLvlStrCache>
                <c:ptCount val="10"/>
                <c:lvl>
                  <c:pt idx="0">
                    <c:v>Entire Facility</c:v>
                  </c:pt>
                  <c:pt idx="1">
                    <c:v>Unit 1</c:v>
                  </c:pt>
                  <c:pt idx="4">
                    <c:v>Entire Facility</c:v>
                  </c:pt>
                  <c:pt idx="5">
                    <c:v>Unit 1</c:v>
                  </c:pt>
                  <c:pt idx="8">
                    <c:v>Entire Facility</c:v>
                  </c:pt>
                  <c:pt idx="9">
                    <c:v>Unit 1</c:v>
                  </c:pt>
                </c:lvl>
                <c:lvl>
                  <c:pt idx="0">
                    <c:v>Treatment in Facility</c:v>
                  </c:pt>
                  <c:pt idx="4">
                    <c:v>Treatment in Emergency Room</c:v>
                  </c:pt>
                  <c:pt idx="8">
                    <c:v>Admission to Hospital</c:v>
                  </c:pt>
                </c:lvl>
              </c:multiLvlStrCache>
            </c:multiLvlStrRef>
          </c:cat>
          <c:val>
            <c:numRef>
              <c:f>calc!$H$294:$H$305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9707-4848-BDDC-120F4F419B17}"/>
            </c:ext>
          </c:extLst>
        </c:ser>
        <c:dLbls>
          <c:showLegendKey val="0"/>
          <c:showVal val="0"/>
          <c:showCatName val="0"/>
          <c:showSerName val="0"/>
          <c:showPercent val="0"/>
          <c:showBubbleSize val="0"/>
        </c:dLbls>
        <c:gapWidth val="219"/>
        <c:overlap val="-27"/>
        <c:axId val="612882592"/>
        <c:axId val="612883008"/>
        <c:extLst>
          <c:ext xmlns:c15="http://schemas.microsoft.com/office/drawing/2012/chart" uri="{02D57815-91ED-43cb-92C2-25804820EDAC}">
            <c15:filteredBarSeries>
              <c15:ser>
                <c:idx val="0"/>
                <c:order val="0"/>
                <c:tx>
                  <c:strRef>
                    <c:extLst>
                      <c:ext uri="{02D57815-91ED-43cb-92C2-25804820EDAC}">
                        <c15:formulaRef>
                          <c15:sqref>calc!$E$292:$E$293</c15:sqref>
                        </c15:formulaRef>
                      </c:ext>
                    </c:extLst>
                    <c:strCache>
                      <c:ptCount val="2"/>
                      <c:pt idx="0">
                        <c:v>June-26</c:v>
                      </c:pt>
                      <c:pt idx="1">
                        <c:v>#Falls by Treatment Location</c:v>
                      </c:pt>
                    </c:strCache>
                  </c:strRef>
                </c:tx>
                <c:spPr>
                  <a:solidFill>
                    <a:schemeClr val="accent1"/>
                  </a:solidFill>
                  <a:ln>
                    <a:noFill/>
                  </a:ln>
                  <a:effectLst/>
                </c:spPr>
                <c:invertIfNegative val="0"/>
                <c:cat>
                  <c:multiLvlStrRef>
                    <c:extLst>
                      <c:ext uri="{02D57815-91ED-43cb-92C2-25804820EDAC}">
                        <c15:formulaRef>
                          <c15:sqref>calc!$C$294:$D$305</c15:sqref>
                        </c15:formulaRef>
                      </c:ext>
                    </c:extLst>
                    <c:multiLvlStrCache>
                      <c:ptCount val="10"/>
                      <c:lvl>
                        <c:pt idx="0">
                          <c:v>Entire Facility</c:v>
                        </c:pt>
                        <c:pt idx="1">
                          <c:v>Unit 1</c:v>
                        </c:pt>
                        <c:pt idx="4">
                          <c:v>Entire Facility</c:v>
                        </c:pt>
                        <c:pt idx="5">
                          <c:v>Unit 1</c:v>
                        </c:pt>
                        <c:pt idx="8">
                          <c:v>Entire Facility</c:v>
                        </c:pt>
                        <c:pt idx="9">
                          <c:v>Unit 1</c:v>
                        </c:pt>
                      </c:lvl>
                      <c:lvl>
                        <c:pt idx="0">
                          <c:v>Treatment in Facility</c:v>
                        </c:pt>
                        <c:pt idx="4">
                          <c:v>Treatment in Emergency Room</c:v>
                        </c:pt>
                        <c:pt idx="8">
                          <c:v>Admission to Hospital</c:v>
                        </c:pt>
                      </c:lvl>
                    </c:multiLvlStrCache>
                  </c:multiLvlStrRef>
                </c:cat>
                <c:val>
                  <c:numRef>
                    <c:extLst>
                      <c:ext uri="{02D57815-91ED-43cb-92C2-25804820EDAC}">
                        <c15:formulaRef>
                          <c15:sqref>calc!$E$294:$E$305</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9707-4848-BDDC-120F4F419B1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calc!$G$292:$G$293</c15:sqref>
                        </c15:formulaRef>
                      </c:ext>
                    </c:extLst>
                    <c:strCache>
                      <c:ptCount val="2"/>
                      <c:pt idx="0">
                        <c:v>YTD</c:v>
                      </c:pt>
                      <c:pt idx="1">
                        <c:v>#Falls by Treatment Location</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calc!$C$294:$D$305</c15:sqref>
                        </c15:formulaRef>
                      </c:ext>
                    </c:extLst>
                    <c:multiLvlStrCache>
                      <c:ptCount val="10"/>
                      <c:lvl>
                        <c:pt idx="0">
                          <c:v>Entire Facility</c:v>
                        </c:pt>
                        <c:pt idx="1">
                          <c:v>Unit 1</c:v>
                        </c:pt>
                        <c:pt idx="4">
                          <c:v>Entire Facility</c:v>
                        </c:pt>
                        <c:pt idx="5">
                          <c:v>Unit 1</c:v>
                        </c:pt>
                        <c:pt idx="8">
                          <c:v>Entire Facility</c:v>
                        </c:pt>
                        <c:pt idx="9">
                          <c:v>Unit 1</c:v>
                        </c:pt>
                      </c:lvl>
                      <c:lvl>
                        <c:pt idx="0">
                          <c:v>Treatment in Facility</c:v>
                        </c:pt>
                        <c:pt idx="4">
                          <c:v>Treatment in Emergency Room</c:v>
                        </c:pt>
                        <c:pt idx="8">
                          <c:v>Admission to Hospital</c:v>
                        </c:pt>
                      </c:lvl>
                    </c:multiLvlStrCache>
                  </c:multiLvlStrRef>
                </c:cat>
                <c:val>
                  <c:numRef>
                    <c:extLst xmlns:c15="http://schemas.microsoft.com/office/drawing/2012/chart">
                      <c:ext xmlns:c15="http://schemas.microsoft.com/office/drawing/2012/chart" uri="{02D57815-91ED-43cb-92C2-25804820EDAC}">
                        <c15:formulaRef>
                          <c15:sqref>calc!$G$294:$G$305</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9707-4848-BDDC-120F4F419B17}"/>
                  </c:ext>
                </c:extLst>
              </c15:ser>
            </c15:filteredBarSeries>
          </c:ext>
        </c:extLst>
      </c:barChart>
      <c:catAx>
        <c:axId val="612882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883008"/>
        <c:crosses val="autoZero"/>
        <c:auto val="1"/>
        <c:lblAlgn val="ctr"/>
        <c:lblOffset val="100"/>
        <c:noMultiLvlLbl val="0"/>
      </c:catAx>
      <c:valAx>
        <c:axId val="61288300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1288259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Causal Factors</a:t>
            </a:r>
            <a:r>
              <a:rPr lang="en-US" baseline="0"/>
              <a:t> of Fall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calc!$K$37</c:f>
              <c:strCache>
                <c:ptCount val="1"/>
                <c:pt idx="0">
                  <c:v>June-26</c:v>
                </c:pt>
              </c:strCache>
            </c:strRef>
          </c:tx>
          <c:spPr>
            <a:solidFill>
              <a:srgbClr val="006DB7"/>
            </a:solidFill>
            <a:ln>
              <a:solidFill>
                <a:srgbClr val="006DB7"/>
              </a:solidFill>
            </a:ln>
            <a:effectLst/>
          </c:spPr>
          <c:invertIfNegative val="0"/>
          <c:cat>
            <c:strRef>
              <c:f>calc!$J$38:$J$41</c:f>
              <c:strCache>
                <c:ptCount val="4"/>
                <c:pt idx="0">
                  <c:v>Unit 1</c:v>
                </c:pt>
                <c:pt idx="3">
                  <c:v>Entire Facility</c:v>
                </c:pt>
              </c:strCache>
            </c:strRef>
          </c:cat>
          <c:val>
            <c:numRef>
              <c:f>calc!$K$38:$K$41</c:f>
              <c:numCache>
                <c:formatCode>0.0%</c:formatCode>
                <c:ptCount val="4"/>
                <c:pt idx="0">
                  <c:v>0</c:v>
                </c:pt>
                <c:pt idx="1">
                  <c:v>0</c:v>
                </c:pt>
                <c:pt idx="2">
                  <c:v>0</c:v>
                </c:pt>
                <c:pt idx="3">
                  <c:v>0</c:v>
                </c:pt>
              </c:numCache>
            </c:numRef>
          </c:val>
          <c:extLst>
            <c:ext xmlns:c16="http://schemas.microsoft.com/office/drawing/2014/chart" uri="{C3380CC4-5D6E-409C-BE32-E72D297353CC}">
              <c16:uniqueId val="{00000000-F837-4E0E-B951-2EA2E5B85D5E}"/>
            </c:ext>
          </c:extLst>
        </c:ser>
        <c:ser>
          <c:idx val="1"/>
          <c:order val="1"/>
          <c:tx>
            <c:strRef>
              <c:f>calc!$L$37</c:f>
              <c:strCache>
                <c:ptCount val="1"/>
                <c:pt idx="0">
                  <c:v>YTD</c:v>
                </c:pt>
              </c:strCache>
            </c:strRef>
          </c:tx>
          <c:spPr>
            <a:solidFill>
              <a:srgbClr val="D663A6"/>
            </a:solidFill>
            <a:ln>
              <a:solidFill>
                <a:srgbClr val="D663A6"/>
              </a:solidFill>
            </a:ln>
            <a:effectLst/>
          </c:spPr>
          <c:invertIfNegative val="0"/>
          <c:cat>
            <c:strRef>
              <c:f>calc!$J$38:$J$41</c:f>
              <c:strCache>
                <c:ptCount val="4"/>
                <c:pt idx="0">
                  <c:v>Unit 1</c:v>
                </c:pt>
                <c:pt idx="3">
                  <c:v>Entire Facility</c:v>
                </c:pt>
              </c:strCache>
            </c:strRef>
          </c:cat>
          <c:val>
            <c:numRef>
              <c:f>calc!$L$38:$L$41</c:f>
              <c:numCache>
                <c:formatCode>0.0%</c:formatCode>
                <c:ptCount val="4"/>
                <c:pt idx="0">
                  <c:v>0</c:v>
                </c:pt>
                <c:pt idx="1">
                  <c:v>0</c:v>
                </c:pt>
                <c:pt idx="2">
                  <c:v>0</c:v>
                </c:pt>
                <c:pt idx="3">
                  <c:v>0</c:v>
                </c:pt>
              </c:numCache>
            </c:numRef>
          </c:val>
          <c:extLst>
            <c:ext xmlns:c16="http://schemas.microsoft.com/office/drawing/2014/chart" uri="{C3380CC4-5D6E-409C-BE32-E72D297353CC}">
              <c16:uniqueId val="{00000001-F837-4E0E-B951-2EA2E5B85D5E}"/>
            </c:ext>
          </c:extLst>
        </c:ser>
        <c:dLbls>
          <c:showLegendKey val="0"/>
          <c:showVal val="0"/>
          <c:showCatName val="0"/>
          <c:showSerName val="0"/>
          <c:showPercent val="0"/>
          <c:showBubbleSize val="0"/>
        </c:dLbls>
        <c:gapWidth val="150"/>
        <c:axId val="754483071"/>
        <c:axId val="754502623"/>
      </c:barChart>
      <c:catAx>
        <c:axId val="754483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502623"/>
        <c:crosses val="autoZero"/>
        <c:auto val="1"/>
        <c:lblAlgn val="ctr"/>
        <c:lblOffset val="100"/>
        <c:noMultiLvlLbl val="0"/>
      </c:catAx>
      <c:valAx>
        <c:axId val="75450262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483071"/>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Falls</a:t>
            </a:r>
            <a:r>
              <a:rPr lang="en-US" baseline="0"/>
              <a:t> by Location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calc!$K$182</c:f>
              <c:strCache>
                <c:ptCount val="1"/>
                <c:pt idx="0">
                  <c:v>June-26</c:v>
                </c:pt>
              </c:strCache>
            </c:strRef>
          </c:tx>
          <c:spPr>
            <a:solidFill>
              <a:srgbClr val="D663A6"/>
            </a:solidFill>
            <a:ln>
              <a:solidFill>
                <a:srgbClr val="D663A6"/>
              </a:solidFill>
            </a:ln>
            <a:effectLst/>
          </c:spPr>
          <c:invertIfNegative val="0"/>
          <c:cat>
            <c:strRef>
              <c:f>calc!$J$183:$J$186</c:f>
              <c:strCache>
                <c:ptCount val="4"/>
                <c:pt idx="0">
                  <c:v>Unit 1</c:v>
                </c:pt>
                <c:pt idx="3">
                  <c:v>Entire Facility</c:v>
                </c:pt>
              </c:strCache>
            </c:strRef>
          </c:cat>
          <c:val>
            <c:numRef>
              <c:f>calc!$K$183:$K$186</c:f>
              <c:numCache>
                <c:formatCode>0.0%</c:formatCode>
                <c:ptCount val="4"/>
                <c:pt idx="0">
                  <c:v>0</c:v>
                </c:pt>
                <c:pt idx="1">
                  <c:v>0</c:v>
                </c:pt>
                <c:pt idx="2">
                  <c:v>0</c:v>
                </c:pt>
                <c:pt idx="3">
                  <c:v>0</c:v>
                </c:pt>
              </c:numCache>
            </c:numRef>
          </c:val>
          <c:extLst>
            <c:ext xmlns:c16="http://schemas.microsoft.com/office/drawing/2014/chart" uri="{C3380CC4-5D6E-409C-BE32-E72D297353CC}">
              <c16:uniqueId val="{00000000-B875-41A9-A154-455809660FA4}"/>
            </c:ext>
          </c:extLst>
        </c:ser>
        <c:ser>
          <c:idx val="1"/>
          <c:order val="1"/>
          <c:tx>
            <c:strRef>
              <c:f>calc!$L$182</c:f>
              <c:strCache>
                <c:ptCount val="1"/>
                <c:pt idx="0">
                  <c:v>YTD</c:v>
                </c:pt>
              </c:strCache>
            </c:strRef>
          </c:tx>
          <c:spPr>
            <a:solidFill>
              <a:srgbClr val="006DB7"/>
            </a:solidFill>
            <a:ln>
              <a:solidFill>
                <a:srgbClr val="006DB7"/>
              </a:solidFill>
            </a:ln>
            <a:effectLst/>
          </c:spPr>
          <c:invertIfNegative val="0"/>
          <c:cat>
            <c:strRef>
              <c:f>calc!$J$183:$J$186</c:f>
              <c:strCache>
                <c:ptCount val="4"/>
                <c:pt idx="0">
                  <c:v>Unit 1</c:v>
                </c:pt>
                <c:pt idx="3">
                  <c:v>Entire Facility</c:v>
                </c:pt>
              </c:strCache>
            </c:strRef>
          </c:cat>
          <c:val>
            <c:numRef>
              <c:f>calc!$L$183:$L$186</c:f>
              <c:numCache>
                <c:formatCode>0.0%</c:formatCode>
                <c:ptCount val="4"/>
                <c:pt idx="0">
                  <c:v>0</c:v>
                </c:pt>
                <c:pt idx="1">
                  <c:v>0</c:v>
                </c:pt>
                <c:pt idx="2">
                  <c:v>0</c:v>
                </c:pt>
                <c:pt idx="3">
                  <c:v>0</c:v>
                </c:pt>
              </c:numCache>
            </c:numRef>
          </c:val>
          <c:extLst>
            <c:ext xmlns:c16="http://schemas.microsoft.com/office/drawing/2014/chart" uri="{C3380CC4-5D6E-409C-BE32-E72D297353CC}">
              <c16:uniqueId val="{00000001-B875-41A9-A154-455809660FA4}"/>
            </c:ext>
          </c:extLst>
        </c:ser>
        <c:dLbls>
          <c:showLegendKey val="0"/>
          <c:showVal val="0"/>
          <c:showCatName val="0"/>
          <c:showSerName val="0"/>
          <c:showPercent val="0"/>
          <c:showBubbleSize val="0"/>
        </c:dLbls>
        <c:gapWidth val="150"/>
        <c:axId val="1975978591"/>
        <c:axId val="1975979839"/>
      </c:barChart>
      <c:catAx>
        <c:axId val="19759785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5979839"/>
        <c:crosses val="autoZero"/>
        <c:auto val="1"/>
        <c:lblAlgn val="ctr"/>
        <c:lblOffset val="100"/>
        <c:noMultiLvlLbl val="0"/>
      </c:catAx>
      <c:valAx>
        <c:axId val="197597983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759785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Falls w/ Injury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calc!$K$262</c:f>
              <c:strCache>
                <c:ptCount val="1"/>
                <c:pt idx="0">
                  <c:v>June-26</c:v>
                </c:pt>
              </c:strCache>
            </c:strRef>
          </c:tx>
          <c:spPr>
            <a:solidFill>
              <a:srgbClr val="D663A6"/>
            </a:solidFill>
            <a:ln>
              <a:solidFill>
                <a:srgbClr val="D663A6"/>
              </a:solidFill>
            </a:ln>
            <a:effectLst/>
          </c:spPr>
          <c:invertIfNegative val="0"/>
          <c:cat>
            <c:strRef>
              <c:f>calc!$J$263:$J$266</c:f>
              <c:strCache>
                <c:ptCount val="4"/>
                <c:pt idx="0">
                  <c:v>Unit 1</c:v>
                </c:pt>
                <c:pt idx="3">
                  <c:v>Entire Facility</c:v>
                </c:pt>
              </c:strCache>
            </c:strRef>
          </c:cat>
          <c:val>
            <c:numRef>
              <c:f>calc!$K$263:$K$266</c:f>
              <c:numCache>
                <c:formatCode>0.0%</c:formatCode>
                <c:ptCount val="4"/>
                <c:pt idx="0">
                  <c:v>0</c:v>
                </c:pt>
                <c:pt idx="1">
                  <c:v>0</c:v>
                </c:pt>
                <c:pt idx="2">
                  <c:v>0</c:v>
                </c:pt>
                <c:pt idx="3">
                  <c:v>0</c:v>
                </c:pt>
              </c:numCache>
            </c:numRef>
          </c:val>
          <c:extLst>
            <c:ext xmlns:c16="http://schemas.microsoft.com/office/drawing/2014/chart" uri="{C3380CC4-5D6E-409C-BE32-E72D297353CC}">
              <c16:uniqueId val="{00000000-6CBA-4F00-B021-83906C83CB07}"/>
            </c:ext>
          </c:extLst>
        </c:ser>
        <c:ser>
          <c:idx val="1"/>
          <c:order val="1"/>
          <c:tx>
            <c:strRef>
              <c:f>calc!$L$262</c:f>
              <c:strCache>
                <c:ptCount val="1"/>
                <c:pt idx="0">
                  <c:v>YTD</c:v>
                </c:pt>
              </c:strCache>
            </c:strRef>
          </c:tx>
          <c:spPr>
            <a:solidFill>
              <a:srgbClr val="006DB7"/>
            </a:solidFill>
            <a:ln>
              <a:solidFill>
                <a:srgbClr val="006DB7"/>
              </a:solidFill>
            </a:ln>
            <a:effectLst/>
          </c:spPr>
          <c:invertIfNegative val="0"/>
          <c:cat>
            <c:strRef>
              <c:f>calc!$J$263:$J$266</c:f>
              <c:strCache>
                <c:ptCount val="4"/>
                <c:pt idx="0">
                  <c:v>Unit 1</c:v>
                </c:pt>
                <c:pt idx="3">
                  <c:v>Entire Facility</c:v>
                </c:pt>
              </c:strCache>
            </c:strRef>
          </c:cat>
          <c:val>
            <c:numRef>
              <c:f>calc!$L$263:$L$266</c:f>
              <c:numCache>
                <c:formatCode>0.0%</c:formatCode>
                <c:ptCount val="4"/>
                <c:pt idx="0">
                  <c:v>0</c:v>
                </c:pt>
                <c:pt idx="1">
                  <c:v>0</c:v>
                </c:pt>
                <c:pt idx="2">
                  <c:v>0</c:v>
                </c:pt>
                <c:pt idx="3">
                  <c:v>0</c:v>
                </c:pt>
              </c:numCache>
            </c:numRef>
          </c:val>
          <c:extLst>
            <c:ext xmlns:c16="http://schemas.microsoft.com/office/drawing/2014/chart" uri="{C3380CC4-5D6E-409C-BE32-E72D297353CC}">
              <c16:uniqueId val="{00000001-6CBA-4F00-B021-83906C83CB07}"/>
            </c:ext>
          </c:extLst>
        </c:ser>
        <c:dLbls>
          <c:showLegendKey val="0"/>
          <c:showVal val="0"/>
          <c:showCatName val="0"/>
          <c:showSerName val="0"/>
          <c:showPercent val="0"/>
          <c:showBubbleSize val="0"/>
        </c:dLbls>
        <c:gapWidth val="150"/>
        <c:axId val="291383935"/>
        <c:axId val="291402239"/>
      </c:barChart>
      <c:catAx>
        <c:axId val="2913839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402239"/>
        <c:crosses val="autoZero"/>
        <c:auto val="1"/>
        <c:lblAlgn val="ctr"/>
        <c:lblOffset val="100"/>
        <c:noMultiLvlLbl val="0"/>
      </c:catAx>
      <c:valAx>
        <c:axId val="29140223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91383935"/>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Total Falls Tracked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col"/>
        <c:grouping val="clustered"/>
        <c:varyColors val="0"/>
        <c:ser>
          <c:idx val="0"/>
          <c:order val="0"/>
          <c:tx>
            <c:strRef>
              <c:f>'Falls Summary'!$E$16:$E$17</c:f>
              <c:strCache>
                <c:ptCount val="2"/>
                <c:pt idx="0">
                  <c:v>June-26</c:v>
                </c:pt>
                <c:pt idx="1">
                  <c:v>#</c:v>
                </c:pt>
              </c:strCache>
            </c:strRef>
          </c:tx>
          <c:spPr>
            <a:solidFill>
              <a:srgbClr val="D663A6"/>
            </a:solidFill>
            <a:ln>
              <a:solidFill>
                <a:srgbClr val="D663A6"/>
              </a:solid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'Falls Summary'!$C$18:$D$33</c15:sqref>
                  </c15:fullRef>
                </c:ext>
              </c:extLst>
              <c:f>'Falls Summary'!$C$19:$D$21</c:f>
              <c:multiLvlStrCache>
                <c:ptCount val="3"/>
                <c:lvl>
                  <c:pt idx="0">
                    <c:v>Unit 1</c:v>
                  </c:pt>
                  <c:pt idx="1">
                    <c:v>Unit 2</c:v>
                  </c:pt>
                  <c:pt idx="2">
                    <c:v>Unit 3</c:v>
                  </c:pt>
                </c:lvl>
                <c:lvl/>
              </c:multiLvlStrCache>
            </c:multiLvlStrRef>
          </c:cat>
          <c:val>
            <c:numRef>
              <c:extLst>
                <c:ext xmlns:c15="http://schemas.microsoft.com/office/drawing/2012/chart" uri="{02D57815-91ED-43cb-92C2-25804820EDAC}">
                  <c15:fullRef>
                    <c15:sqref>'Falls Summary'!$E$18:$E$33</c15:sqref>
                  </c15:fullRef>
                </c:ext>
              </c:extLst>
              <c:f>'Falls Summary'!$E$19:$E$21</c:f>
              <c:numCache>
                <c:formatCode>General</c:formatCode>
                <c:ptCount val="3"/>
                <c:pt idx="0">
                  <c:v>0</c:v>
                </c:pt>
                <c:pt idx="1">
                  <c:v>0</c:v>
                </c:pt>
                <c:pt idx="2">
                  <c:v>0</c:v>
                </c:pt>
              </c:numCache>
            </c:numRef>
          </c:val>
          <c:extLst>
            <c:ext xmlns:c16="http://schemas.microsoft.com/office/drawing/2014/chart" uri="{C3380CC4-5D6E-409C-BE32-E72D297353CC}">
              <c16:uniqueId val="{00000000-4F32-4D32-B4CA-2ED488D834F6}"/>
            </c:ext>
          </c:extLst>
        </c:ser>
        <c:ser>
          <c:idx val="2"/>
          <c:order val="2"/>
          <c:tx>
            <c:strRef>
              <c:f>'Falls Summary'!$G$16:$G$17</c:f>
              <c:strCache>
                <c:ptCount val="2"/>
                <c:pt idx="0">
                  <c:v>YTD</c:v>
                </c:pt>
                <c:pt idx="1">
                  <c:v>#</c:v>
                </c:pt>
              </c:strCache>
            </c:strRef>
          </c:tx>
          <c:spPr>
            <a:solidFill>
              <a:srgbClr val="006DB7"/>
            </a:solidFill>
            <a:ln>
              <a:solidFill>
                <a:srgbClr val="006DB7"/>
              </a:solid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extLst>
                <c:ext xmlns:c15="http://schemas.microsoft.com/office/drawing/2012/chart" uri="{02D57815-91ED-43cb-92C2-25804820EDAC}">
                  <c15:fullRef>
                    <c15:sqref>'Falls Summary'!$C$18:$D$33</c15:sqref>
                  </c15:fullRef>
                </c:ext>
              </c:extLst>
              <c:f>'Falls Summary'!$C$19:$D$21</c:f>
              <c:multiLvlStrCache>
                <c:ptCount val="3"/>
                <c:lvl>
                  <c:pt idx="0">
                    <c:v>Unit 1</c:v>
                  </c:pt>
                  <c:pt idx="1">
                    <c:v>Unit 2</c:v>
                  </c:pt>
                  <c:pt idx="2">
                    <c:v>Unit 3</c:v>
                  </c:pt>
                </c:lvl>
                <c:lvl/>
              </c:multiLvlStrCache>
            </c:multiLvlStrRef>
          </c:cat>
          <c:val>
            <c:numRef>
              <c:extLst>
                <c:ext xmlns:c15="http://schemas.microsoft.com/office/drawing/2012/chart" uri="{02D57815-91ED-43cb-92C2-25804820EDAC}">
                  <c15:fullRef>
                    <c15:sqref>'Falls Summary'!$G$18:$G$33</c15:sqref>
                  </c15:fullRef>
                </c:ext>
              </c:extLst>
              <c:f>'Falls Summary'!$G$19:$G$21</c:f>
              <c:numCache>
                <c:formatCode>General</c:formatCode>
                <c:ptCount val="3"/>
                <c:pt idx="0">
                  <c:v>0</c:v>
                </c:pt>
                <c:pt idx="1">
                  <c:v>0</c:v>
                </c:pt>
                <c:pt idx="2">
                  <c:v>0</c:v>
                </c:pt>
              </c:numCache>
            </c:numRef>
          </c:val>
          <c:extLst>
            <c:ext xmlns:c16="http://schemas.microsoft.com/office/drawing/2014/chart" uri="{C3380CC4-5D6E-409C-BE32-E72D297353CC}">
              <c16:uniqueId val="{00000002-4F32-4D32-B4CA-2ED488D834F6}"/>
            </c:ext>
          </c:extLst>
        </c:ser>
        <c:dLbls>
          <c:showLegendKey val="0"/>
          <c:showVal val="0"/>
          <c:showCatName val="0"/>
          <c:showSerName val="0"/>
          <c:showPercent val="0"/>
          <c:showBubbleSize val="0"/>
        </c:dLbls>
        <c:gapWidth val="150"/>
        <c:axId val="1999186079"/>
        <c:axId val="1999184415"/>
        <c:extLst>
          <c:ext xmlns:c15="http://schemas.microsoft.com/office/drawing/2012/chart" uri="{02D57815-91ED-43cb-92C2-25804820EDAC}">
            <c15:filteredBarSeries>
              <c15:ser>
                <c:idx val="1"/>
                <c:order val="1"/>
                <c:tx>
                  <c:strRef>
                    <c:extLst>
                      <c:ext uri="{02D57815-91ED-43cb-92C2-25804820EDAC}">
                        <c15:formulaRef>
                          <c15:sqref>'Falls Summary'!$F$16:$F$17</c15:sqref>
                        </c15:formulaRef>
                      </c:ext>
                    </c:extLst>
                    <c:strCache>
                      <c:ptCount val="2"/>
                      <c:pt idx="0">
                        <c:v>June-26</c:v>
                      </c:pt>
                      <c:pt idx="1">
                        <c:v>%</c:v>
                      </c:pt>
                    </c:strCache>
                  </c:strRef>
                </c:tx>
                <c:spPr>
                  <a:solidFill>
                    <a:schemeClr val="accent2"/>
                  </a:solidFill>
                  <a:ln>
                    <a:noFill/>
                  </a:ln>
                  <a:effectLst/>
                </c:spPr>
                <c:invertIfNegative val="0"/>
                <c:cat>
                  <c:multiLvlStrRef>
                    <c:extLst>
                      <c:ext uri="{02D57815-91ED-43cb-92C2-25804820EDAC}">
                        <c15:fullRef>
                          <c15:sqref>'Falls Summary'!$C$18:$D$33</c15:sqref>
                        </c15:fullRef>
                        <c15:formulaRef>
                          <c15:sqref>'Falls Summary'!$C$19:$D$21</c15:sqref>
                        </c15:formulaRef>
                      </c:ext>
                    </c:extLst>
                    <c:multiLvlStrCache>
                      <c:ptCount val="3"/>
                      <c:lvl>
                        <c:pt idx="0">
                          <c:v>Unit 1</c:v>
                        </c:pt>
                        <c:pt idx="1">
                          <c:v>Unit 2</c:v>
                        </c:pt>
                        <c:pt idx="2">
                          <c:v>Unit 3</c:v>
                        </c:pt>
                      </c:lvl>
                      <c:lvl/>
                    </c:multiLvlStrCache>
                  </c:multiLvlStrRef>
                </c:cat>
                <c:val>
                  <c:numRef>
                    <c:extLst>
                      <c:ext uri="{02D57815-91ED-43cb-92C2-25804820EDAC}">
                        <c15:fullRef>
                          <c15:sqref>'Falls Summary'!$F$18:$F$33</c15:sqref>
                        </c15:fullRef>
                        <c15:formulaRef>
                          <c15:sqref>'Falls Summary'!$F$19:$F$21</c15:sqref>
                        </c15:formulaRef>
                      </c:ext>
                    </c:extLst>
                    <c:numCache>
                      <c:formatCode>0%</c:formatCode>
                      <c:ptCount val="3"/>
                      <c:pt idx="0">
                        <c:v>0</c:v>
                      </c:pt>
                      <c:pt idx="1">
                        <c:v>0</c:v>
                      </c:pt>
                      <c:pt idx="2">
                        <c:v>0</c:v>
                      </c:pt>
                    </c:numCache>
                  </c:numRef>
                </c:val>
                <c:extLst>
                  <c:ext xmlns:c16="http://schemas.microsoft.com/office/drawing/2014/chart" uri="{C3380CC4-5D6E-409C-BE32-E72D297353CC}">
                    <c16:uniqueId val="{00000001-4F32-4D32-B4CA-2ED488D834F6}"/>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'Falls Summary'!$H$16:$H$17</c15:sqref>
                        </c15:formulaRef>
                      </c:ext>
                    </c:extLst>
                    <c:strCache>
                      <c:ptCount val="2"/>
                      <c:pt idx="0">
                        <c:v>YTD</c:v>
                      </c:pt>
                      <c:pt idx="1">
                        <c:v>%</c:v>
                      </c:pt>
                    </c:strCache>
                  </c:strRef>
                </c:tx>
                <c:spPr>
                  <a:solidFill>
                    <a:schemeClr val="accent4"/>
                  </a:solidFill>
                  <a:ln>
                    <a:noFill/>
                  </a:ln>
                  <a:effectLst/>
                </c:spPr>
                <c:invertIfNegative val="0"/>
                <c:cat>
                  <c:multiLvlStrRef>
                    <c:extLst>
                      <c:ext xmlns:c15="http://schemas.microsoft.com/office/drawing/2012/chart" uri="{02D57815-91ED-43cb-92C2-25804820EDAC}">
                        <c15:fullRef>
                          <c15:sqref>'Falls Summary'!$C$18:$D$33</c15:sqref>
                        </c15:fullRef>
                        <c15:formulaRef>
                          <c15:sqref>'Falls Summary'!$C$19:$D$21</c15:sqref>
                        </c15:formulaRef>
                      </c:ext>
                    </c:extLst>
                    <c:multiLvlStrCache>
                      <c:ptCount val="3"/>
                      <c:lvl>
                        <c:pt idx="0">
                          <c:v>Unit 1</c:v>
                        </c:pt>
                        <c:pt idx="1">
                          <c:v>Unit 2</c:v>
                        </c:pt>
                        <c:pt idx="2">
                          <c:v>Unit 3</c:v>
                        </c:pt>
                      </c:lvl>
                      <c:lvl/>
                    </c:multiLvlStrCache>
                  </c:multiLvlStrRef>
                </c:cat>
                <c:val>
                  <c:numRef>
                    <c:extLst>
                      <c:ext xmlns:c15="http://schemas.microsoft.com/office/drawing/2012/chart" uri="{02D57815-91ED-43cb-92C2-25804820EDAC}">
                        <c15:fullRef>
                          <c15:sqref>'Falls Summary'!$H$18:$H$33</c15:sqref>
                        </c15:fullRef>
                        <c15:formulaRef>
                          <c15:sqref>'Falls Summary'!$H$19:$H$21</c15:sqref>
                        </c15:formulaRef>
                      </c:ext>
                    </c:extLst>
                    <c:numCache>
                      <c:formatCode>0%</c:formatCode>
                      <c:ptCount val="3"/>
                      <c:pt idx="0">
                        <c:v>0</c:v>
                      </c:pt>
                      <c:pt idx="1">
                        <c:v>0</c:v>
                      </c:pt>
                      <c:pt idx="2">
                        <c:v>0</c:v>
                      </c:pt>
                    </c:numCache>
                  </c:numRef>
                </c:val>
                <c:extLst xmlns:c15="http://schemas.microsoft.com/office/drawing/2012/chart">
                  <c:ext xmlns:c16="http://schemas.microsoft.com/office/drawing/2014/chart" uri="{C3380CC4-5D6E-409C-BE32-E72D297353CC}">
                    <c16:uniqueId val="{00000003-4F32-4D32-B4CA-2ED488D834F6}"/>
                  </c:ext>
                </c:extLst>
              </c15:ser>
            </c15:filteredBarSeries>
          </c:ext>
        </c:extLst>
      </c:barChart>
      <c:catAx>
        <c:axId val="19991860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1999184415"/>
        <c:crosses val="autoZero"/>
        <c:auto val="1"/>
        <c:lblAlgn val="ctr"/>
        <c:lblOffset val="100"/>
        <c:noMultiLvlLbl val="0"/>
      </c:catAx>
      <c:valAx>
        <c:axId val="19991844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1999186079"/>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General Information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'Falls Summary'!$K$20</c:f>
              <c:strCache>
                <c:ptCount val="1"/>
                <c:pt idx="0">
                  <c:v>June-26</c:v>
                </c:pt>
              </c:strCache>
            </c:strRef>
          </c:tx>
          <c:spPr>
            <a:solidFill>
              <a:srgbClr val="006DB7"/>
            </a:solidFill>
            <a:ln>
              <a:noFill/>
            </a:ln>
            <a:effectLst/>
          </c:spPr>
          <c:invertIfNegative val="0"/>
          <c:cat>
            <c:strRef>
              <c:f>'Falls Summary'!$J$21:$J$24</c:f>
              <c:strCache>
                <c:ptCount val="4"/>
                <c:pt idx="0">
                  <c:v>Unit 1</c:v>
                </c:pt>
                <c:pt idx="1">
                  <c:v>Unit 2</c:v>
                </c:pt>
                <c:pt idx="2">
                  <c:v>Unit 3</c:v>
                </c:pt>
                <c:pt idx="3">
                  <c:v>Entire Facility</c:v>
                </c:pt>
              </c:strCache>
            </c:strRef>
          </c:cat>
          <c:val>
            <c:numRef>
              <c:f>'Falls Summary'!$K$21:$K$24</c:f>
              <c:numCache>
                <c:formatCode>0.0%</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0-0DB9-4ADD-88A5-BE0B6CA8F3A5}"/>
            </c:ext>
          </c:extLst>
        </c:ser>
        <c:ser>
          <c:idx val="1"/>
          <c:order val="1"/>
          <c:tx>
            <c:strRef>
              <c:f>'Falls Summary'!$L$20</c:f>
              <c:strCache>
                <c:ptCount val="1"/>
                <c:pt idx="0">
                  <c:v>YTD</c:v>
                </c:pt>
              </c:strCache>
            </c:strRef>
          </c:tx>
          <c:spPr>
            <a:solidFill>
              <a:srgbClr val="D663A6"/>
            </a:solidFill>
            <a:ln>
              <a:noFill/>
            </a:ln>
            <a:effectLst/>
          </c:spPr>
          <c:invertIfNegative val="0"/>
          <c:cat>
            <c:strRef>
              <c:f>'Falls Summary'!$J$21:$J$24</c:f>
              <c:strCache>
                <c:ptCount val="4"/>
                <c:pt idx="0">
                  <c:v>Unit 1</c:v>
                </c:pt>
                <c:pt idx="1">
                  <c:v>Unit 2</c:v>
                </c:pt>
                <c:pt idx="2">
                  <c:v>Unit 3</c:v>
                </c:pt>
                <c:pt idx="3">
                  <c:v>Entire Facility</c:v>
                </c:pt>
              </c:strCache>
            </c:strRef>
          </c:cat>
          <c:val>
            <c:numRef>
              <c:f>'Falls Summary'!$L$21:$L$24</c:f>
              <c:numCache>
                <c:formatCode>0.0%</c:formatCode>
                <c:ptCount val="4"/>
                <c:pt idx="0">
                  <c:v>0</c:v>
                </c:pt>
                <c:pt idx="1">
                  <c:v>0</c:v>
                </c:pt>
                <c:pt idx="2">
                  <c:v>0</c:v>
                </c:pt>
                <c:pt idx="3">
                  <c:v>0</c:v>
                </c:pt>
              </c:numCache>
            </c:numRef>
          </c:val>
          <c:extLst>
            <c:ext xmlns:c16="http://schemas.microsoft.com/office/drawing/2014/chart" uri="{C3380CC4-5D6E-409C-BE32-E72D297353CC}">
              <c16:uniqueId val="{00000001-0DB9-4ADD-88A5-BE0B6CA8F3A5}"/>
            </c:ext>
          </c:extLst>
        </c:ser>
        <c:dLbls>
          <c:showLegendKey val="0"/>
          <c:showVal val="0"/>
          <c:showCatName val="0"/>
          <c:showSerName val="0"/>
          <c:showPercent val="0"/>
          <c:showBubbleSize val="0"/>
        </c:dLbls>
        <c:gapWidth val="150"/>
        <c:axId val="15571983"/>
        <c:axId val="15572399"/>
        <c:extLst/>
      </c:barChart>
      <c:catAx>
        <c:axId val="155719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72399"/>
        <c:crosses val="autoZero"/>
        <c:auto val="1"/>
        <c:lblAlgn val="ctr"/>
        <c:lblOffset val="100"/>
        <c:noMultiLvlLbl val="0"/>
      </c:catAx>
      <c:valAx>
        <c:axId val="1557239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15571983"/>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Falls</a:t>
            </a:r>
            <a:r>
              <a:rPr lang="en-US" baseline="0"/>
              <a:t> by Causal Factor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0"/>
          <c:tx>
            <c:strRef>
              <c:f>'Falls Summary'!$F$45:$F$46</c:f>
              <c:strCache>
                <c:ptCount val="2"/>
                <c:pt idx="0">
                  <c:v>June-26</c:v>
                </c:pt>
                <c:pt idx="1">
                  <c:v>%Falls w/ Causal Factor</c:v>
                </c:pt>
              </c:strCache>
              <c:extLst xmlns:c15="http://schemas.microsoft.com/office/drawing/2012/chart"/>
            </c:strRef>
          </c:tx>
          <c:spPr>
            <a:solidFill>
              <a:srgbClr val="D663A6"/>
            </a:solidFill>
            <a:ln>
              <a:solidFill>
                <a:srgbClr val="D663A6"/>
              </a:solidFill>
            </a:ln>
            <a:effectLst/>
          </c:spPr>
          <c:invertIfNegative val="0"/>
          <c:cat>
            <c:multiLvlStrRef>
              <c:extLst>
                <c:ext xmlns:c15="http://schemas.microsoft.com/office/drawing/2012/chart" uri="{02D57815-91ED-43cb-92C2-25804820EDAC}">
                  <c15:fullRef>
                    <c15:sqref>calc!$C$36:$D$71</c15:sqref>
                  </c15:fullRef>
                </c:ext>
              </c:extLst>
              <c:f>(calc!$C$36:$D$37,calc!$C$40:$D$41,calc!$C$44:$D$45,calc!$C$48:$D$49,calc!$C$52:$D$53,calc!$C$56:$D$57,calc!$C$60:$D$61,calc!$C$64:$D$65)</c:f>
              <c:multiLvlStrCache>
                <c:ptCount val="16"/>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lvl>
                <c:lvl>
                  <c:pt idx="0">
                    <c:v>History of Falls</c:v>
                  </c:pt>
                  <c:pt idx="2">
                    <c:v>Underlying Conditions</c:v>
                  </c:pt>
                  <c:pt idx="4">
                    <c:v>Medications</c:v>
                  </c:pt>
                  <c:pt idx="6">
                    <c:v>Functional Status</c:v>
                  </c:pt>
                  <c:pt idx="8">
                    <c:v>Neurological Status</c:v>
                  </c:pt>
                  <c:pt idx="10">
                    <c:v>Psychological Factors</c:v>
                  </c:pt>
                  <c:pt idx="12">
                    <c:v>Environmental Issues</c:v>
                  </c:pt>
                  <c:pt idx="14">
                    <c:v>Other</c:v>
                  </c:pt>
                </c:lvl>
              </c:multiLvlStrCache>
            </c:multiLvlStrRef>
          </c:cat>
          <c:val>
            <c:numRef>
              <c:extLst>
                <c:ext xmlns:c15="http://schemas.microsoft.com/office/drawing/2012/chart" uri="{02D57815-91ED-43cb-92C2-25804820EDAC}">
                  <c15:fullRef>
                    <c15:sqref>calc!$F$36:$F$71</c15:sqref>
                  </c15:fullRef>
                </c:ext>
              </c:extLst>
              <c:f>(calc!$F$36:$F$37,calc!$F$40:$F$41,calc!$F$44:$F$45,calc!$F$48:$F$49,calc!$F$52:$F$53,calc!$F$56:$F$57,calc!$F$60:$F$61,calc!$F$64:$F$65)</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F1EB-4464-A136-B83286280FCD}"/>
            </c:ext>
          </c:extLst>
        </c:ser>
        <c:ser>
          <c:idx val="3"/>
          <c:order val="1"/>
          <c:tx>
            <c:strRef>
              <c:f>'Falls Summary'!$H$45:$H$46</c:f>
              <c:strCache>
                <c:ptCount val="2"/>
                <c:pt idx="0">
                  <c:v>YTD</c:v>
                </c:pt>
                <c:pt idx="1">
                  <c:v>%Falls w/ Causal Factor</c:v>
                </c:pt>
              </c:strCache>
              <c:extLst xmlns:c15="http://schemas.microsoft.com/office/drawing/2012/chart"/>
            </c:strRef>
          </c:tx>
          <c:spPr>
            <a:solidFill>
              <a:srgbClr val="006DB7"/>
            </a:solidFill>
            <a:ln>
              <a:solidFill>
                <a:srgbClr val="006DB7"/>
              </a:solidFill>
            </a:ln>
            <a:effectLst/>
          </c:spPr>
          <c:invertIfNegative val="0"/>
          <c:cat>
            <c:multiLvlStrRef>
              <c:extLst>
                <c:ext xmlns:c15="http://schemas.microsoft.com/office/drawing/2012/chart" uri="{02D57815-91ED-43cb-92C2-25804820EDAC}">
                  <c15:fullRef>
                    <c15:sqref>calc!$C$36:$D$71</c15:sqref>
                  </c15:fullRef>
                </c:ext>
              </c:extLst>
              <c:f>(calc!$C$36:$D$37,calc!$C$40:$D$41,calc!$C$44:$D$45,calc!$C$48:$D$49,calc!$C$52:$D$53,calc!$C$56:$D$57,calc!$C$60:$D$61,calc!$C$64:$D$65)</c:f>
              <c:multiLvlStrCache>
                <c:ptCount val="16"/>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lvl>
                <c:lvl>
                  <c:pt idx="0">
                    <c:v>History of Falls</c:v>
                  </c:pt>
                  <c:pt idx="2">
                    <c:v>Underlying Conditions</c:v>
                  </c:pt>
                  <c:pt idx="4">
                    <c:v>Medications</c:v>
                  </c:pt>
                  <c:pt idx="6">
                    <c:v>Functional Status</c:v>
                  </c:pt>
                  <c:pt idx="8">
                    <c:v>Neurological Status</c:v>
                  </c:pt>
                  <c:pt idx="10">
                    <c:v>Psychological Factors</c:v>
                  </c:pt>
                  <c:pt idx="12">
                    <c:v>Environmental Issues</c:v>
                  </c:pt>
                  <c:pt idx="14">
                    <c:v>Other</c:v>
                  </c:pt>
                </c:lvl>
              </c:multiLvlStrCache>
            </c:multiLvlStrRef>
          </c:cat>
          <c:val>
            <c:numRef>
              <c:extLst>
                <c:ext xmlns:c15="http://schemas.microsoft.com/office/drawing/2012/chart" uri="{02D57815-91ED-43cb-92C2-25804820EDAC}">
                  <c15:fullRef>
                    <c15:sqref>calc!$H$36:$H$71</c15:sqref>
                  </c15:fullRef>
                </c:ext>
              </c:extLst>
              <c:f>(calc!$H$36:$H$37,calc!$H$40:$H$41,calc!$H$44:$H$45,calc!$H$48:$H$49,calc!$H$52:$H$53,calc!$H$56:$H$57,calc!$H$60:$H$61,calc!$H$64:$H$65)</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3-F1EB-4464-A136-B83286280FCD}"/>
            </c:ext>
          </c:extLst>
        </c:ser>
        <c:dLbls>
          <c:showLegendKey val="0"/>
          <c:showVal val="0"/>
          <c:showCatName val="0"/>
          <c:showSerName val="0"/>
          <c:showPercent val="0"/>
          <c:showBubbleSize val="0"/>
        </c:dLbls>
        <c:gapWidth val="219"/>
        <c:axId val="87759167"/>
        <c:axId val="87774559"/>
        <c:extLst/>
      </c:barChart>
      <c:catAx>
        <c:axId val="87759167"/>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74559"/>
        <c:crosses val="autoZero"/>
        <c:auto val="1"/>
        <c:lblAlgn val="ctr"/>
        <c:lblOffset val="100"/>
        <c:noMultiLvlLbl val="0"/>
      </c:catAx>
      <c:valAx>
        <c:axId val="87774559"/>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591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%Falls by Prior Activity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bar"/>
        <c:grouping val="clustered"/>
        <c:varyColors val="0"/>
        <c:ser>
          <c:idx val="1"/>
          <c:order val="1"/>
          <c:tx>
            <c:strRef>
              <c:f>'Falls Summary'!$F$81:$F$82</c:f>
              <c:strCache>
                <c:ptCount val="2"/>
                <c:pt idx="0">
                  <c:v>June-26</c:v>
                </c:pt>
                <c:pt idx="1">
                  <c:v>%Falls by Prior Activity</c:v>
                </c:pt>
              </c:strCache>
            </c:strRef>
          </c:tx>
          <c:spPr>
            <a:solidFill>
              <a:srgbClr val="D663A6"/>
            </a:solidFill>
            <a:ln>
              <a:solidFill>
                <a:srgbClr val="D663A6"/>
              </a:solidFill>
            </a:ln>
            <a:effectLst/>
          </c:spPr>
          <c:invertIfNegative val="0"/>
          <c:cat>
            <c:multiLvlStrRef>
              <c:extLst>
                <c:ext xmlns:c15="http://schemas.microsoft.com/office/drawing/2012/chart" uri="{02D57815-91ED-43cb-92C2-25804820EDAC}">
                  <c15:fullRef>
                    <c15:sqref>calc!$C$229:$D$256</c15:sqref>
                  </c15:fullRef>
                </c:ext>
              </c:extLst>
              <c:f>(calc!$C$229:$D$230,calc!$C$233:$D$234,calc!$C$237:$D$238,calc!$C$241:$D$242,calc!$C$245:$D$246,calc!$C$249:$D$250,calc!$C$253:$D$254)</c:f>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Walking</c:v>
                  </c:pt>
                  <c:pt idx="2">
                    <c:v>Transfer</c:v>
                  </c:pt>
                  <c:pt idx="4">
                    <c:v>Bed</c:v>
                  </c:pt>
                  <c:pt idx="6">
                    <c:v>Chair</c:v>
                  </c:pt>
                  <c:pt idx="8">
                    <c:v>Toileting w/ Assist</c:v>
                  </c:pt>
                  <c:pt idx="10">
                    <c:v>Toileting w/o Assist</c:v>
                  </c:pt>
                  <c:pt idx="12">
                    <c:v>Other</c:v>
                  </c:pt>
                </c:lvl>
              </c:multiLvlStrCache>
            </c:multiLvlStrRef>
          </c:cat>
          <c:val>
            <c:numRef>
              <c:extLst>
                <c:ext xmlns:c15="http://schemas.microsoft.com/office/drawing/2012/chart" uri="{02D57815-91ED-43cb-92C2-25804820EDAC}">
                  <c15:fullRef>
                    <c15:sqref>calc!$F$229:$F$256</c15:sqref>
                  </c15:fullRef>
                </c:ext>
              </c:extLst>
              <c:f>(calc!$F$229:$F$230,calc!$F$233:$F$234,calc!$F$237:$F$238,calc!$F$241:$F$242,calc!$F$245:$F$246,calc!$F$249:$F$250,calc!$F$253:$F$254)</c:f>
              <c:numCache>
                <c:formatCode>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C669-4610-BA25-97ABD1BC8A13}"/>
            </c:ext>
          </c:extLst>
        </c:ser>
        <c:ser>
          <c:idx val="3"/>
          <c:order val="3"/>
          <c:tx>
            <c:strRef>
              <c:f>'Falls Summary'!$H$81:$H$82</c:f>
              <c:strCache>
                <c:ptCount val="2"/>
                <c:pt idx="0">
                  <c:v>YTD</c:v>
                </c:pt>
                <c:pt idx="1">
                  <c:v>%Falls by Prior Activity</c:v>
                </c:pt>
              </c:strCache>
            </c:strRef>
          </c:tx>
          <c:spPr>
            <a:solidFill>
              <a:srgbClr val="006DB7"/>
            </a:solidFill>
            <a:ln>
              <a:solidFill>
                <a:srgbClr val="006DB7"/>
              </a:solidFill>
            </a:ln>
            <a:effectLst/>
          </c:spPr>
          <c:invertIfNegative val="0"/>
          <c:cat>
            <c:multiLvlStrRef>
              <c:extLst>
                <c:ext xmlns:c15="http://schemas.microsoft.com/office/drawing/2012/chart" uri="{02D57815-91ED-43cb-92C2-25804820EDAC}">
                  <c15:fullRef>
                    <c15:sqref>calc!$C$229:$D$256</c15:sqref>
                  </c15:fullRef>
                </c:ext>
              </c:extLst>
              <c:f>(calc!$C$229:$D$230,calc!$C$233:$D$234,calc!$C$237:$D$238,calc!$C$241:$D$242,calc!$C$245:$D$246,calc!$C$249:$D$250,calc!$C$253:$D$254)</c:f>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Walking</c:v>
                  </c:pt>
                  <c:pt idx="2">
                    <c:v>Transfer</c:v>
                  </c:pt>
                  <c:pt idx="4">
                    <c:v>Bed</c:v>
                  </c:pt>
                  <c:pt idx="6">
                    <c:v>Chair</c:v>
                  </c:pt>
                  <c:pt idx="8">
                    <c:v>Toileting w/ Assist</c:v>
                  </c:pt>
                  <c:pt idx="10">
                    <c:v>Toileting w/o Assist</c:v>
                  </c:pt>
                  <c:pt idx="12">
                    <c:v>Other</c:v>
                  </c:pt>
                </c:lvl>
              </c:multiLvlStrCache>
            </c:multiLvlStrRef>
          </c:cat>
          <c:val>
            <c:numRef>
              <c:extLst>
                <c:ext xmlns:c15="http://schemas.microsoft.com/office/drawing/2012/chart" uri="{02D57815-91ED-43cb-92C2-25804820EDAC}">
                  <c15:fullRef>
                    <c15:sqref>calc!$H$229:$H$256</c15:sqref>
                  </c15:fullRef>
                </c:ext>
              </c:extLst>
              <c:f>(calc!$H$229:$H$230,calc!$H$233:$H$234,calc!$H$237:$H$238,calc!$H$241:$H$242,calc!$H$245:$H$246,calc!$H$249:$H$250,calc!$H$253:$H$254)</c:f>
              <c:numCache>
                <c:formatCode>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3-C669-4610-BA25-97ABD1BC8A13}"/>
            </c:ext>
          </c:extLst>
        </c:ser>
        <c:dLbls>
          <c:showLegendKey val="0"/>
          <c:showVal val="0"/>
          <c:showCatName val="0"/>
          <c:showSerName val="0"/>
          <c:showPercent val="0"/>
          <c:showBubbleSize val="0"/>
        </c:dLbls>
        <c:gapWidth val="219"/>
        <c:axId val="463716128"/>
        <c:axId val="463716960"/>
        <c:extLst>
          <c:ext xmlns:c15="http://schemas.microsoft.com/office/drawing/2012/chart" uri="{02D57815-91ED-43cb-92C2-25804820EDAC}">
            <c15:filteredBarSeries>
              <c15:ser>
                <c:idx val="0"/>
                <c:order val="0"/>
                <c:tx>
                  <c:strRef>
                    <c:extLst>
                      <c:ext uri="{02D57815-91ED-43cb-92C2-25804820EDAC}">
                        <c15:formulaRef>
                          <c15:sqref>'Falls Summary'!$E$81:$E$82</c15:sqref>
                        </c15:formulaRef>
                      </c:ext>
                    </c:extLst>
                    <c:strCache>
                      <c:ptCount val="2"/>
                      <c:pt idx="0">
                        <c:v>June-26</c:v>
                      </c:pt>
                      <c:pt idx="1">
                        <c:v>#Falls by Prior Activity</c:v>
                      </c:pt>
                    </c:strCache>
                  </c:strRef>
                </c:tx>
                <c:spPr>
                  <a:solidFill>
                    <a:schemeClr val="accent1"/>
                  </a:solidFill>
                  <a:ln>
                    <a:noFill/>
                  </a:ln>
                  <a:effectLst/>
                </c:spPr>
                <c:invertIfNegative val="0"/>
                <c:cat>
                  <c:multiLvlStrRef>
                    <c:extLst>
                      <c:ext uri="{02D57815-91ED-43cb-92C2-25804820EDAC}">
                        <c15:fullRef>
                          <c15:sqref>calc!$C$229:$D$256</c15:sqref>
                        </c15:fullRef>
                        <c15:formulaRef>
                          <c15:sqref>(calc!$C$229:$D$230,calc!$C$233:$D$234,calc!$C$237:$D$238,calc!$C$241:$D$242,calc!$C$245:$D$246,calc!$C$249:$D$250,calc!$C$253:$D$254)</c15:sqref>
                        </c15:formulaRef>
                      </c:ext>
                    </c:extLst>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Walking</c:v>
                        </c:pt>
                        <c:pt idx="2">
                          <c:v>Transfer</c:v>
                        </c:pt>
                        <c:pt idx="4">
                          <c:v>Bed</c:v>
                        </c:pt>
                        <c:pt idx="6">
                          <c:v>Chair</c:v>
                        </c:pt>
                        <c:pt idx="8">
                          <c:v>Toileting w/ Assist</c:v>
                        </c:pt>
                        <c:pt idx="10">
                          <c:v>Toileting w/o Assist</c:v>
                        </c:pt>
                        <c:pt idx="12">
                          <c:v>Other</c:v>
                        </c:pt>
                      </c:lvl>
                    </c:multiLvlStrCache>
                  </c:multiLvlStrRef>
                </c:cat>
                <c:val>
                  <c:numRef>
                    <c:extLst>
                      <c:ext uri="{02D57815-91ED-43cb-92C2-25804820EDAC}">
                        <c15:fullRef>
                          <c15:sqref>'Falls Summary'!$E$83:$E$110</c15:sqref>
                        </c15:fullRef>
                        <c15:formulaRef>
                          <c15:sqref>('Falls Summary'!$E$83:$E$84,'Falls Summary'!$E$87:$E$88,'Falls Summary'!$E$91:$E$92,'Falls Summary'!$E$95:$E$96,'Falls Summary'!$E$99:$E$100,'Falls Summary'!$E$103:$E$104,'Falls Summary'!$E$107:$E$108)</c15:sqref>
                        </c15:formulaRef>
                      </c:ext>
                    </c:extLst>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C669-4610-BA25-97ABD1BC8A13}"/>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'Falls Summary'!$G$81:$G$82</c15:sqref>
                        </c15:formulaRef>
                      </c:ext>
                    </c:extLst>
                    <c:strCache>
                      <c:ptCount val="2"/>
                      <c:pt idx="0">
                        <c:v>YTD</c:v>
                      </c:pt>
                      <c:pt idx="1">
                        <c:v>#Falls by Prior Activity</c:v>
                      </c:pt>
                    </c:strCache>
                  </c:strRef>
                </c:tx>
                <c:spPr>
                  <a:solidFill>
                    <a:schemeClr val="accent3"/>
                  </a:solidFill>
                  <a:ln>
                    <a:noFill/>
                  </a:ln>
                  <a:effectLst/>
                </c:spPr>
                <c:invertIfNegative val="0"/>
                <c:cat>
                  <c:multiLvlStrRef>
                    <c:extLst>
                      <c:ext xmlns:c15="http://schemas.microsoft.com/office/drawing/2012/chart" uri="{02D57815-91ED-43cb-92C2-25804820EDAC}">
                        <c15:fullRef>
                          <c15:sqref>calc!$C$229:$D$256</c15:sqref>
                        </c15:fullRef>
                        <c15:formulaRef>
                          <c15:sqref>(calc!$C$229:$D$230,calc!$C$233:$D$234,calc!$C$237:$D$238,calc!$C$241:$D$242,calc!$C$245:$D$246,calc!$C$249:$D$250,calc!$C$253:$D$254)</c15:sqref>
                        </c15:formulaRef>
                      </c:ext>
                    </c:extLst>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Walking</c:v>
                        </c:pt>
                        <c:pt idx="2">
                          <c:v>Transfer</c:v>
                        </c:pt>
                        <c:pt idx="4">
                          <c:v>Bed</c:v>
                        </c:pt>
                        <c:pt idx="6">
                          <c:v>Chair</c:v>
                        </c:pt>
                        <c:pt idx="8">
                          <c:v>Toileting w/ Assist</c:v>
                        </c:pt>
                        <c:pt idx="10">
                          <c:v>Toileting w/o Assist</c:v>
                        </c:pt>
                        <c:pt idx="12">
                          <c:v>Other</c:v>
                        </c:pt>
                      </c:lvl>
                    </c:multiLvlStrCache>
                  </c:multiLvlStrRef>
                </c:cat>
                <c:val>
                  <c:numRef>
                    <c:extLst>
                      <c:ext xmlns:c15="http://schemas.microsoft.com/office/drawing/2012/chart" uri="{02D57815-91ED-43cb-92C2-25804820EDAC}">
                        <c15:fullRef>
                          <c15:sqref>'Falls Summary'!$G$83:$G$110</c15:sqref>
                        </c15:fullRef>
                        <c15:formulaRef>
                          <c15:sqref>('Falls Summary'!$G$83:$G$84,'Falls Summary'!$G$87:$G$88,'Falls Summary'!$G$91:$G$92,'Falls Summary'!$G$95:$G$96,'Falls Summary'!$G$99:$G$100,'Falls Summary'!$G$103:$G$104,'Falls Summary'!$G$107:$G$108)</c15:sqref>
                        </c15:formulaRef>
                      </c:ext>
                    </c:extLst>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2-C669-4610-BA25-97ABD1BC8A13}"/>
                  </c:ext>
                </c:extLst>
              </c15:ser>
            </c15:filteredBarSeries>
          </c:ext>
        </c:extLst>
      </c:barChart>
      <c:catAx>
        <c:axId val="46371612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463716960"/>
        <c:crosses val="autoZero"/>
        <c:auto val="1"/>
        <c:lblAlgn val="ctr"/>
        <c:lblOffset val="100"/>
        <c:noMultiLvlLbl val="0"/>
      </c:catAx>
      <c:valAx>
        <c:axId val="46371696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463716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Causal Factors</a:t>
            </a:r>
            <a:r>
              <a:rPr lang="en-US" baseline="0"/>
              <a:t> of Fall</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'Falls Summary'!$K$48</c:f>
              <c:strCache>
                <c:ptCount val="1"/>
                <c:pt idx="0">
                  <c:v>June-26</c:v>
                </c:pt>
              </c:strCache>
            </c:strRef>
          </c:tx>
          <c:spPr>
            <a:solidFill>
              <a:srgbClr val="006DB7"/>
            </a:solidFill>
            <a:ln>
              <a:solidFill>
                <a:srgbClr val="006DB7"/>
              </a:solidFill>
            </a:ln>
            <a:effectLst/>
          </c:spPr>
          <c:invertIfNegative val="0"/>
          <c:cat>
            <c:strRef>
              <c:f>'Falls Summary'!$J$49:$J$50</c:f>
              <c:strCache>
                <c:ptCount val="2"/>
                <c:pt idx="0">
                  <c:v>Unit 1</c:v>
                </c:pt>
                <c:pt idx="1">
                  <c:v>Unit 2</c:v>
                </c:pt>
              </c:strCache>
            </c:strRef>
          </c:cat>
          <c:val>
            <c:numRef>
              <c:f>'Falls Summary'!$K$49:$K$50</c:f>
              <c:numCache>
                <c:formatCode>0.0%</c:formatCode>
                <c:ptCount val="2"/>
                <c:pt idx="0">
                  <c:v>0</c:v>
                </c:pt>
                <c:pt idx="1">
                  <c:v>0</c:v>
                </c:pt>
              </c:numCache>
            </c:numRef>
          </c:val>
          <c:extLst>
            <c:ext xmlns:c16="http://schemas.microsoft.com/office/drawing/2014/chart" uri="{C3380CC4-5D6E-409C-BE32-E72D297353CC}">
              <c16:uniqueId val="{00000000-8B59-42BA-9F87-A1FFE78D9BB1}"/>
            </c:ext>
          </c:extLst>
        </c:ser>
        <c:ser>
          <c:idx val="1"/>
          <c:order val="1"/>
          <c:tx>
            <c:strRef>
              <c:f>'Falls Summary'!$L$48</c:f>
              <c:strCache>
                <c:ptCount val="1"/>
                <c:pt idx="0">
                  <c:v>YTD</c:v>
                </c:pt>
              </c:strCache>
            </c:strRef>
          </c:tx>
          <c:spPr>
            <a:solidFill>
              <a:srgbClr val="D663A6"/>
            </a:solidFill>
            <a:ln>
              <a:solidFill>
                <a:srgbClr val="D663A6"/>
              </a:solidFill>
            </a:ln>
            <a:effectLst/>
          </c:spPr>
          <c:invertIfNegative val="0"/>
          <c:cat>
            <c:strRef>
              <c:f>'Falls Summary'!$J$49:$J$50</c:f>
              <c:strCache>
                <c:ptCount val="2"/>
                <c:pt idx="0">
                  <c:v>Unit 1</c:v>
                </c:pt>
                <c:pt idx="1">
                  <c:v>Unit 2</c:v>
                </c:pt>
              </c:strCache>
            </c:strRef>
          </c:cat>
          <c:val>
            <c:numRef>
              <c:f>'Falls Summary'!$L$49:$L$50</c:f>
              <c:numCache>
                <c:formatCode>0.0%</c:formatCode>
                <c:ptCount val="2"/>
                <c:pt idx="0">
                  <c:v>0</c:v>
                </c:pt>
                <c:pt idx="1">
                  <c:v>0</c:v>
                </c:pt>
              </c:numCache>
            </c:numRef>
          </c:val>
          <c:extLst>
            <c:ext xmlns:c16="http://schemas.microsoft.com/office/drawing/2014/chart" uri="{C3380CC4-5D6E-409C-BE32-E72D297353CC}">
              <c16:uniqueId val="{00000001-8B59-42BA-9F87-A1FFE78D9BB1}"/>
            </c:ext>
          </c:extLst>
        </c:ser>
        <c:dLbls>
          <c:showLegendKey val="0"/>
          <c:showVal val="0"/>
          <c:showCatName val="0"/>
          <c:showSerName val="0"/>
          <c:showPercent val="0"/>
          <c:showBubbleSize val="0"/>
        </c:dLbls>
        <c:gapWidth val="150"/>
        <c:axId val="754483071"/>
        <c:axId val="754502623"/>
      </c:barChart>
      <c:catAx>
        <c:axId val="754483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502623"/>
        <c:crosses val="autoZero"/>
        <c:auto val="1"/>
        <c:lblAlgn val="ctr"/>
        <c:lblOffset val="100"/>
        <c:noMultiLvlLbl val="0"/>
      </c:catAx>
      <c:valAx>
        <c:axId val="75450262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4483071"/>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Falls</a:t>
            </a:r>
            <a:r>
              <a:rPr lang="en-US" baseline="0"/>
              <a:t> by Causal Factor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1"/>
          <c:tx>
            <c:strRef>
              <c:f>calc!$F$34:$F$35</c:f>
              <c:strCache>
                <c:ptCount val="2"/>
                <c:pt idx="0">
                  <c:v>June-26</c:v>
                </c:pt>
                <c:pt idx="1">
                  <c:v>%Falls w/ Causal Factor</c:v>
                </c:pt>
              </c:strCache>
            </c:strRef>
          </c:tx>
          <c:spPr>
            <a:solidFill>
              <a:srgbClr val="D663A6"/>
            </a:solidFill>
            <a:ln>
              <a:solidFill>
                <a:srgbClr val="D663A6"/>
              </a:solidFill>
            </a:ln>
            <a:effectLst/>
          </c:spPr>
          <c:invertIfNegative val="0"/>
          <c:cat>
            <c:multiLvlStrRef>
              <c:extLst>
                <c:ext xmlns:c15="http://schemas.microsoft.com/office/drawing/2012/chart" uri="{02D57815-91ED-43cb-92C2-25804820EDAC}">
                  <c15:fullRef>
                    <c15:sqref>calc!$C$36:$D$71</c15:sqref>
                  </c15:fullRef>
                </c:ext>
              </c:extLst>
              <c:f>(calc!$C$36:$D$37,calc!$C$40:$D$41,calc!$C$44:$D$45,calc!$C$48:$D$49,calc!$C$52:$D$53,calc!$C$56:$D$57,calc!$C$60:$D$61,calc!$C$64:$D$65,calc!$C$68:$D$69)</c:f>
              <c:multiLvlStrCache>
                <c:ptCount val="16"/>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lvl>
                <c:lvl>
                  <c:pt idx="0">
                    <c:v>History of Falls</c:v>
                  </c:pt>
                  <c:pt idx="2">
                    <c:v>Underlying Conditions</c:v>
                  </c:pt>
                  <c:pt idx="4">
                    <c:v>Medications</c:v>
                  </c:pt>
                  <c:pt idx="6">
                    <c:v>Functional Status</c:v>
                  </c:pt>
                  <c:pt idx="8">
                    <c:v>Neurological Status</c:v>
                  </c:pt>
                  <c:pt idx="10">
                    <c:v>Psychological Factors</c:v>
                  </c:pt>
                  <c:pt idx="12">
                    <c:v>Environmental Issues</c:v>
                  </c:pt>
                  <c:pt idx="14">
                    <c:v>Other</c:v>
                  </c:pt>
                </c:lvl>
              </c:multiLvlStrCache>
            </c:multiLvlStrRef>
          </c:cat>
          <c:val>
            <c:numRef>
              <c:extLst>
                <c:ext xmlns:c15="http://schemas.microsoft.com/office/drawing/2012/chart" uri="{02D57815-91ED-43cb-92C2-25804820EDAC}">
                  <c15:fullRef>
                    <c15:sqref>calc!$F$36:$F$71</c15:sqref>
                  </c15:fullRef>
                </c:ext>
              </c:extLst>
              <c:f>(calc!$F$36:$F$37,calc!$F$40:$F$41,calc!$F$44:$F$45,calc!$F$48:$F$49,calc!$F$52:$F$53,calc!$F$56:$F$57,calc!$F$60:$F$61,calc!$F$64:$F$65,calc!$F$68:$F$69)</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B3CC-413C-BB29-4FA936B18AB5}"/>
            </c:ext>
          </c:extLst>
        </c:ser>
        <c:ser>
          <c:idx val="3"/>
          <c:order val="3"/>
          <c:tx>
            <c:strRef>
              <c:f>calc!$H$34:$H$35</c:f>
              <c:strCache>
                <c:ptCount val="2"/>
                <c:pt idx="0">
                  <c:v>YTD</c:v>
                </c:pt>
                <c:pt idx="1">
                  <c:v>%Falls w/ Causal Factor</c:v>
                </c:pt>
              </c:strCache>
            </c:strRef>
          </c:tx>
          <c:spPr>
            <a:solidFill>
              <a:srgbClr val="006DB7"/>
            </a:solidFill>
            <a:ln>
              <a:solidFill>
                <a:srgbClr val="006DB7"/>
              </a:solidFill>
            </a:ln>
            <a:effectLst/>
          </c:spPr>
          <c:invertIfNegative val="0"/>
          <c:cat>
            <c:multiLvlStrRef>
              <c:extLst>
                <c:ext xmlns:c15="http://schemas.microsoft.com/office/drawing/2012/chart" uri="{02D57815-91ED-43cb-92C2-25804820EDAC}">
                  <c15:fullRef>
                    <c15:sqref>calc!$C$36:$D$71</c15:sqref>
                  </c15:fullRef>
                </c:ext>
              </c:extLst>
              <c:f>(calc!$C$36:$D$37,calc!$C$40:$D$41,calc!$C$44:$D$45,calc!$C$48:$D$49,calc!$C$52:$D$53,calc!$C$56:$D$57,calc!$C$60:$D$61,calc!$C$64:$D$65,calc!$C$68:$D$69)</c:f>
              <c:multiLvlStrCache>
                <c:ptCount val="16"/>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lvl>
                <c:lvl>
                  <c:pt idx="0">
                    <c:v>History of Falls</c:v>
                  </c:pt>
                  <c:pt idx="2">
                    <c:v>Underlying Conditions</c:v>
                  </c:pt>
                  <c:pt idx="4">
                    <c:v>Medications</c:v>
                  </c:pt>
                  <c:pt idx="6">
                    <c:v>Functional Status</c:v>
                  </c:pt>
                  <c:pt idx="8">
                    <c:v>Neurological Status</c:v>
                  </c:pt>
                  <c:pt idx="10">
                    <c:v>Psychological Factors</c:v>
                  </c:pt>
                  <c:pt idx="12">
                    <c:v>Environmental Issues</c:v>
                  </c:pt>
                  <c:pt idx="14">
                    <c:v>Other</c:v>
                  </c:pt>
                </c:lvl>
              </c:multiLvlStrCache>
            </c:multiLvlStrRef>
          </c:cat>
          <c:val>
            <c:numRef>
              <c:extLst>
                <c:ext xmlns:c15="http://schemas.microsoft.com/office/drawing/2012/chart" uri="{02D57815-91ED-43cb-92C2-25804820EDAC}">
                  <c15:fullRef>
                    <c15:sqref>calc!$H$36:$H$71</c15:sqref>
                  </c15:fullRef>
                </c:ext>
              </c:extLst>
              <c:f>(calc!$H$36:$H$37,calc!$H$40:$H$41,calc!$H$44:$H$45,calc!$H$48:$H$49,calc!$H$52:$H$53,calc!$H$56:$H$57,calc!$H$60:$H$61,calc!$H$64:$H$65,calc!$H$68:$H$69)</c:f>
              <c:numCache>
                <c:formatCode>0%</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1-B3CC-413C-BB29-4FA936B18AB5}"/>
            </c:ext>
          </c:extLst>
        </c:ser>
        <c:dLbls>
          <c:showLegendKey val="0"/>
          <c:showVal val="0"/>
          <c:showCatName val="0"/>
          <c:showSerName val="0"/>
          <c:showPercent val="0"/>
          <c:showBubbleSize val="0"/>
        </c:dLbls>
        <c:gapWidth val="219"/>
        <c:axId val="87759167"/>
        <c:axId val="87774559"/>
        <c:extLst>
          <c:ext xmlns:c15="http://schemas.microsoft.com/office/drawing/2012/chart" uri="{02D57815-91ED-43cb-92C2-25804820EDAC}">
            <c15:filteredBarSeries>
              <c15:ser>
                <c:idx val="0"/>
                <c:order val="0"/>
                <c:tx>
                  <c:strRef>
                    <c:extLst>
                      <c:ext uri="{02D57815-91ED-43cb-92C2-25804820EDAC}">
                        <c15:formulaRef>
                          <c15:sqref>calc!$E$34:$E$35</c15:sqref>
                        </c15:formulaRef>
                      </c:ext>
                    </c:extLst>
                    <c:strCache>
                      <c:ptCount val="2"/>
                      <c:pt idx="0">
                        <c:v>June-26</c:v>
                      </c:pt>
                      <c:pt idx="1">
                        <c:v>#Falls w/ Causal Factor</c:v>
                      </c:pt>
                    </c:strCache>
                  </c:strRef>
                </c:tx>
                <c:spPr>
                  <a:solidFill>
                    <a:schemeClr val="accent1"/>
                  </a:solidFill>
                  <a:ln>
                    <a:noFill/>
                  </a:ln>
                  <a:effectLst/>
                </c:spPr>
                <c:invertIfNegative val="0"/>
                <c:cat>
                  <c:multiLvlStrRef>
                    <c:extLst>
                      <c:ext uri="{02D57815-91ED-43cb-92C2-25804820EDAC}">
                        <c15:fullRef>
                          <c15:sqref>calc!$C$36:$D$71</c15:sqref>
                        </c15:fullRef>
                        <c15:formulaRef>
                          <c15:sqref>(calc!$C$36:$D$37,calc!$C$40:$D$41,calc!$C$44:$D$45,calc!$C$48:$D$49,calc!$C$52:$D$53,calc!$C$56:$D$57,calc!$C$60:$D$61,calc!$C$64:$D$65,calc!$C$68:$D$69)</c15:sqref>
                        </c15:formulaRef>
                      </c:ext>
                    </c:extLst>
                    <c:multiLvlStrCache>
                      <c:ptCount val="16"/>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lvl>
                      <c:lvl>
                        <c:pt idx="0">
                          <c:v>History of Falls</c:v>
                        </c:pt>
                        <c:pt idx="2">
                          <c:v>Underlying Conditions</c:v>
                        </c:pt>
                        <c:pt idx="4">
                          <c:v>Medications</c:v>
                        </c:pt>
                        <c:pt idx="6">
                          <c:v>Functional Status</c:v>
                        </c:pt>
                        <c:pt idx="8">
                          <c:v>Neurological Status</c:v>
                        </c:pt>
                        <c:pt idx="10">
                          <c:v>Psychological Factors</c:v>
                        </c:pt>
                        <c:pt idx="12">
                          <c:v>Environmental Issues</c:v>
                        </c:pt>
                        <c:pt idx="14">
                          <c:v>Other</c:v>
                        </c:pt>
                      </c:lvl>
                    </c:multiLvlStrCache>
                  </c:multiLvlStrRef>
                </c:cat>
                <c:val>
                  <c:numRef>
                    <c:extLst>
                      <c:ext uri="{02D57815-91ED-43cb-92C2-25804820EDAC}">
                        <c15:fullRef>
                          <c15:sqref>calc!$E$36:$E$71</c15:sqref>
                        </c15:fullRef>
                        <c15:formulaRef>
                          <c15:sqref>(calc!$E$36:$E$37,calc!$E$40:$E$41,calc!$E$44:$E$45,calc!$E$48:$E$49,calc!$E$52:$E$53,calc!$E$56:$E$57,calc!$E$60:$E$61,calc!$E$64:$E$65,calc!$E$68:$E$69)</c15:sqref>
                        </c15:formulaRef>
                      </c:ext>
                    </c:extLst>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B3CC-413C-BB29-4FA936B18AB5}"/>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calc!$G$34:$G$35</c15:sqref>
                        </c15:formulaRef>
                      </c:ext>
                    </c:extLst>
                    <c:strCache>
                      <c:ptCount val="2"/>
                      <c:pt idx="0">
                        <c:v>YTD</c:v>
                      </c:pt>
                      <c:pt idx="1">
                        <c:v>#Falls w/ Causal Factor</c:v>
                      </c:pt>
                    </c:strCache>
                  </c:strRef>
                </c:tx>
                <c:spPr>
                  <a:solidFill>
                    <a:schemeClr val="accent3"/>
                  </a:solidFill>
                  <a:ln>
                    <a:noFill/>
                  </a:ln>
                  <a:effectLst/>
                </c:spPr>
                <c:invertIfNegative val="0"/>
                <c:cat>
                  <c:multiLvlStrRef>
                    <c:extLst>
                      <c:ext xmlns:c15="http://schemas.microsoft.com/office/drawing/2012/chart" uri="{02D57815-91ED-43cb-92C2-25804820EDAC}">
                        <c15:fullRef>
                          <c15:sqref>calc!$C$36:$D$71</c15:sqref>
                        </c15:fullRef>
                        <c15:formulaRef>
                          <c15:sqref>(calc!$C$36:$D$37,calc!$C$40:$D$41,calc!$C$44:$D$45,calc!$C$48:$D$49,calc!$C$52:$D$53,calc!$C$56:$D$57,calc!$C$60:$D$61,calc!$C$64:$D$65,calc!$C$68:$D$69)</c15:sqref>
                        </c15:formulaRef>
                      </c:ext>
                    </c:extLst>
                    <c:multiLvlStrCache>
                      <c:ptCount val="16"/>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lvl>
                      <c:lvl>
                        <c:pt idx="0">
                          <c:v>History of Falls</c:v>
                        </c:pt>
                        <c:pt idx="2">
                          <c:v>Underlying Conditions</c:v>
                        </c:pt>
                        <c:pt idx="4">
                          <c:v>Medications</c:v>
                        </c:pt>
                        <c:pt idx="6">
                          <c:v>Functional Status</c:v>
                        </c:pt>
                        <c:pt idx="8">
                          <c:v>Neurological Status</c:v>
                        </c:pt>
                        <c:pt idx="10">
                          <c:v>Psychological Factors</c:v>
                        </c:pt>
                        <c:pt idx="12">
                          <c:v>Environmental Issues</c:v>
                        </c:pt>
                        <c:pt idx="14">
                          <c:v>Other</c:v>
                        </c:pt>
                      </c:lvl>
                    </c:multiLvlStrCache>
                  </c:multiLvlStrRef>
                </c:cat>
                <c:val>
                  <c:numRef>
                    <c:extLst>
                      <c:ext xmlns:c15="http://schemas.microsoft.com/office/drawing/2012/chart" uri="{02D57815-91ED-43cb-92C2-25804820EDAC}">
                        <c15:fullRef>
                          <c15:sqref>calc!$G$36:$G$71</c15:sqref>
                        </c15:fullRef>
                        <c15:formulaRef>
                          <c15:sqref>(calc!$G$36:$G$37,calc!$G$40:$G$41,calc!$G$44:$G$45,calc!$G$48:$G$49,calc!$G$52:$G$53,calc!$G$56:$G$57,calc!$G$60:$G$61,calc!$G$64:$G$65,calc!$G$68:$G$69)</c15:sqref>
                        </c15:formulaRef>
                      </c:ext>
                    </c:extLst>
                    <c:numCache>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xmlns:c15="http://schemas.microsoft.com/office/drawing/2012/chart">
                  <c:ext xmlns:c16="http://schemas.microsoft.com/office/drawing/2014/chart" uri="{C3380CC4-5D6E-409C-BE32-E72D297353CC}">
                    <c16:uniqueId val="{00000003-B3CC-413C-BB29-4FA936B18AB5}"/>
                  </c:ext>
                </c:extLst>
              </c15:ser>
            </c15:filteredBarSeries>
          </c:ext>
        </c:extLst>
      </c:barChart>
      <c:catAx>
        <c:axId val="87759167"/>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74559"/>
        <c:crosses val="autoZero"/>
        <c:auto val="1"/>
        <c:lblAlgn val="ctr"/>
        <c:lblOffset val="100"/>
        <c:noMultiLvlLbl val="0"/>
      </c:catAx>
      <c:valAx>
        <c:axId val="87774559"/>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75916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%Falls by Prior Activity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'Falls Summary'!$K$84</c:f>
              <c:strCache>
                <c:ptCount val="1"/>
                <c:pt idx="0">
                  <c:v>June-26</c:v>
                </c:pt>
              </c:strCache>
            </c:strRef>
          </c:tx>
          <c:spPr>
            <a:solidFill>
              <a:srgbClr val="D663A6"/>
            </a:solidFill>
            <a:ln>
              <a:solidFill>
                <a:srgbClr val="D663A6"/>
              </a:solidFill>
            </a:ln>
            <a:effectLst/>
          </c:spPr>
          <c:invertIfNegative val="0"/>
          <c:cat>
            <c:strRef>
              <c:f>'Falls Summary'!$J$85:$J$88</c:f>
              <c:strCache>
                <c:ptCount val="4"/>
                <c:pt idx="0">
                  <c:v>Unit 1</c:v>
                </c:pt>
                <c:pt idx="1">
                  <c:v>Unit 2</c:v>
                </c:pt>
                <c:pt idx="2">
                  <c:v>Unit 3</c:v>
                </c:pt>
                <c:pt idx="3">
                  <c:v>Entire Facility</c:v>
                </c:pt>
              </c:strCache>
            </c:strRef>
          </c:cat>
          <c:val>
            <c:numRef>
              <c:f>'Falls Summary'!$K$85:$K$88</c:f>
              <c:numCache>
                <c:formatCode>0.0%</c:formatCode>
                <c:ptCount val="4"/>
                <c:pt idx="0">
                  <c:v>0</c:v>
                </c:pt>
                <c:pt idx="1">
                  <c:v>0</c:v>
                </c:pt>
                <c:pt idx="2">
                  <c:v>0</c:v>
                </c:pt>
                <c:pt idx="3">
                  <c:v>0</c:v>
                </c:pt>
              </c:numCache>
            </c:numRef>
          </c:val>
          <c:extLst>
            <c:ext xmlns:c16="http://schemas.microsoft.com/office/drawing/2014/chart" uri="{C3380CC4-5D6E-409C-BE32-E72D297353CC}">
              <c16:uniqueId val="{00000000-A072-49AF-8C88-CC8941852CE8}"/>
            </c:ext>
          </c:extLst>
        </c:ser>
        <c:ser>
          <c:idx val="1"/>
          <c:order val="1"/>
          <c:tx>
            <c:strRef>
              <c:f>'Falls Summary'!$L$84</c:f>
              <c:strCache>
                <c:ptCount val="1"/>
                <c:pt idx="0">
                  <c:v>YTD</c:v>
                </c:pt>
              </c:strCache>
            </c:strRef>
          </c:tx>
          <c:spPr>
            <a:solidFill>
              <a:srgbClr val="006DB7"/>
            </a:solidFill>
            <a:ln>
              <a:solidFill>
                <a:srgbClr val="006DB7"/>
              </a:solidFill>
            </a:ln>
            <a:effectLst/>
          </c:spPr>
          <c:invertIfNegative val="0"/>
          <c:cat>
            <c:strRef>
              <c:f>'Falls Summary'!$J$85:$J$88</c:f>
              <c:strCache>
                <c:ptCount val="4"/>
                <c:pt idx="0">
                  <c:v>Unit 1</c:v>
                </c:pt>
                <c:pt idx="1">
                  <c:v>Unit 2</c:v>
                </c:pt>
                <c:pt idx="2">
                  <c:v>Unit 3</c:v>
                </c:pt>
                <c:pt idx="3">
                  <c:v>Entire Facility</c:v>
                </c:pt>
              </c:strCache>
            </c:strRef>
          </c:cat>
          <c:val>
            <c:numRef>
              <c:f>'Falls Summary'!$L$85:$L$88</c:f>
              <c:numCache>
                <c:formatCode>0.0%</c:formatCode>
                <c:ptCount val="4"/>
                <c:pt idx="0">
                  <c:v>0</c:v>
                </c:pt>
                <c:pt idx="1">
                  <c:v>0</c:v>
                </c:pt>
                <c:pt idx="2">
                  <c:v>0</c:v>
                </c:pt>
                <c:pt idx="3">
                  <c:v>0</c:v>
                </c:pt>
              </c:numCache>
            </c:numRef>
          </c:val>
          <c:extLst>
            <c:ext xmlns:c16="http://schemas.microsoft.com/office/drawing/2014/chart" uri="{C3380CC4-5D6E-409C-BE32-E72D297353CC}">
              <c16:uniqueId val="{00000001-A072-49AF-8C88-CC8941852CE8}"/>
            </c:ext>
          </c:extLst>
        </c:ser>
        <c:dLbls>
          <c:showLegendKey val="0"/>
          <c:showVal val="0"/>
          <c:showCatName val="0"/>
          <c:showSerName val="0"/>
          <c:showPercent val="0"/>
          <c:showBubbleSize val="0"/>
        </c:dLbls>
        <c:gapWidth val="150"/>
        <c:axId val="1414858704"/>
        <c:axId val="1412716384"/>
      </c:barChart>
      <c:catAx>
        <c:axId val="14148587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12716384"/>
        <c:crosses val="autoZero"/>
        <c:auto val="1"/>
        <c:lblAlgn val="ctr"/>
        <c:lblOffset val="100"/>
        <c:noMultiLvlLbl val="0"/>
      </c:catAx>
      <c:valAx>
        <c:axId val="1412716384"/>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14858704"/>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Monthly Total Falls Tracked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calc!$S$5</c:f>
              <c:strCache>
                <c:ptCount val="1"/>
                <c:pt idx="0">
                  <c:v>Entire Facility</c:v>
                </c:pt>
              </c:strCache>
            </c:strRef>
          </c:tx>
          <c:spPr>
            <a:ln w="28575" cap="rnd">
              <a:solidFill>
                <a:srgbClr val="006DB7"/>
              </a:solidFill>
              <a:round/>
            </a:ln>
            <a:effectLst/>
          </c:spPr>
          <c:marker>
            <c:symbol val="circle"/>
            <c:size val="5"/>
            <c:spPr>
              <a:solidFill>
                <a:schemeClr val="accent1"/>
              </a:solidFill>
              <a:ln w="9525">
                <a:solidFill>
                  <a:schemeClr val="accent1"/>
                </a:solidFill>
              </a:ln>
              <a:effectLst/>
            </c:spPr>
          </c:marker>
          <c:cat>
            <c:strRef>
              <c:f>calc!$R$6:$R$17</c:f>
              <c:strCache>
                <c:ptCount val="1"/>
                <c:pt idx="0">
                  <c:v>Jun-26</c:v>
                </c:pt>
              </c:strCache>
            </c:strRef>
          </c:cat>
          <c:val>
            <c:numRef>
              <c:f>calc!$S$6:$S$17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A4C4-4AD4-974B-0E649BBA9E32}"/>
            </c:ext>
          </c:extLst>
        </c:ser>
        <c:ser>
          <c:idx val="1"/>
          <c:order val="1"/>
          <c:tx>
            <c:strRef>
              <c:f>calc!$T$5</c:f>
              <c:strCache>
                <c:ptCount val="1"/>
                <c:pt idx="0">
                  <c:v>Unit 1</c:v>
                </c:pt>
              </c:strCache>
            </c:strRef>
          </c:tx>
          <c:spPr>
            <a:ln w="28575" cap="rnd">
              <a:solidFill>
                <a:srgbClr val="D663A6"/>
              </a:solidFill>
              <a:round/>
            </a:ln>
            <a:effectLst/>
          </c:spPr>
          <c:marker>
            <c:symbol val="circle"/>
            <c:size val="5"/>
            <c:spPr>
              <a:solidFill>
                <a:schemeClr val="accent2"/>
              </a:solidFill>
              <a:ln w="9525">
                <a:solidFill>
                  <a:srgbClr val="D663A6"/>
                </a:solidFill>
              </a:ln>
              <a:effectLst/>
            </c:spPr>
          </c:marker>
          <c:val>
            <c:numRef>
              <c:f>calc!$T$6:$T$17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A4C4-4AD4-974B-0E649BBA9E32}"/>
            </c:ext>
          </c:extLst>
        </c:ser>
        <c:ser>
          <c:idx val="2"/>
          <c:order val="2"/>
          <c:tx>
            <c:strRef>
              <c:f>calc!$U$5</c:f>
              <c:strCache>
                <c:ptCount val="1"/>
                <c:pt idx="0">
                  <c:v>Unit 2</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val>
            <c:numRef>
              <c:f>calc!$U$6:$U$17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A4C4-4AD4-974B-0E649BBA9E32}"/>
            </c:ext>
          </c:extLst>
        </c:ser>
        <c:ser>
          <c:idx val="3"/>
          <c:order val="3"/>
          <c:tx>
            <c:strRef>
              <c:f>calc!$V$5</c:f>
              <c:strCache>
                <c:ptCount val="1"/>
                <c:pt idx="0">
                  <c:v>Unit 3</c:v>
                </c:pt>
              </c:strCache>
            </c:strRef>
          </c:tx>
          <c:spPr>
            <a:ln w="28575" cap="rnd">
              <a:solidFill>
                <a:srgbClr val="69498F"/>
              </a:solidFill>
              <a:round/>
            </a:ln>
            <a:effectLst/>
          </c:spPr>
          <c:marker>
            <c:symbol val="circle"/>
            <c:size val="5"/>
            <c:spPr>
              <a:solidFill>
                <a:srgbClr val="69498F"/>
              </a:solidFill>
              <a:ln w="9525">
                <a:solidFill>
                  <a:srgbClr val="69498F"/>
                </a:solidFill>
              </a:ln>
              <a:effectLst/>
            </c:spPr>
          </c:marker>
          <c:val>
            <c:numRef>
              <c:f>calc!$V$6:$V$17</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A4C4-4AD4-974B-0E649BBA9E32}"/>
            </c:ext>
          </c:extLst>
        </c:ser>
        <c:dLbls>
          <c:showLegendKey val="0"/>
          <c:showVal val="0"/>
          <c:showCatName val="0"/>
          <c:showSerName val="0"/>
          <c:showPercent val="0"/>
          <c:showBubbleSize val="0"/>
        </c:dLbls>
        <c:marker val="1"/>
        <c:smooth val="0"/>
        <c:axId val="695406944"/>
        <c:axId val="1037065808"/>
      </c:lineChart>
      <c:dateAx>
        <c:axId val="695406944"/>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37065808"/>
        <c:crosses val="autoZero"/>
        <c:auto val="1"/>
        <c:lblOffset val="100"/>
        <c:baseTimeUnit val="months"/>
      </c:dateAx>
      <c:valAx>
        <c:axId val="10370658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#Falls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54069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Falls by Day of Week</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bar"/>
        <c:grouping val="clustered"/>
        <c:varyColors val="0"/>
        <c:ser>
          <c:idx val="1"/>
          <c:order val="1"/>
          <c:tx>
            <c:strRef>
              <c:f>'Time Location Falls Summary'!$F$10:$F$11</c:f>
              <c:strCache>
                <c:ptCount val="2"/>
                <c:pt idx="0">
                  <c:v>June-26</c:v>
                </c:pt>
                <c:pt idx="1">
                  <c:v>% by Day</c:v>
                </c:pt>
              </c:strCache>
            </c:strRef>
          </c:tx>
          <c:spPr>
            <a:solidFill>
              <a:srgbClr val="D663A6"/>
            </a:solidFill>
            <a:ln>
              <a:solidFill>
                <a:srgbClr val="D663A6"/>
              </a:solidFill>
            </a:ln>
            <a:effectLst/>
          </c:spPr>
          <c:invertIfNegative val="0"/>
          <c:dLbls>
            <c:delete val="1"/>
          </c:dLbls>
          <c:cat>
            <c:multiLvlStrRef>
              <c:f>'Time Location Falls Summary'!$C$12:$D$39</c:f>
              <c:multiLvlStrCache>
                <c:ptCount val="28"/>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pt idx="12">
                    <c:v>Entire Facility</c:v>
                  </c:pt>
                  <c:pt idx="13">
                    <c:v>Unit 1</c:v>
                  </c:pt>
                  <c:pt idx="14">
                    <c:v>Unit 2</c:v>
                  </c:pt>
                  <c:pt idx="15">
                    <c:v>Unit 3</c:v>
                  </c:pt>
                  <c:pt idx="16">
                    <c:v>Entire Facility</c:v>
                  </c:pt>
                  <c:pt idx="17">
                    <c:v>Unit 1</c:v>
                  </c:pt>
                  <c:pt idx="18">
                    <c:v>Unit 2</c:v>
                  </c:pt>
                  <c:pt idx="19">
                    <c:v>Unit 3</c:v>
                  </c:pt>
                  <c:pt idx="20">
                    <c:v>Entire Facility</c:v>
                  </c:pt>
                  <c:pt idx="21">
                    <c:v>Unit 1</c:v>
                  </c:pt>
                  <c:pt idx="22">
                    <c:v>Unit 2</c:v>
                  </c:pt>
                  <c:pt idx="23">
                    <c:v>Unit 3</c:v>
                  </c:pt>
                  <c:pt idx="24">
                    <c:v>Entire Facility</c:v>
                  </c:pt>
                  <c:pt idx="25">
                    <c:v>Unit 1</c:v>
                  </c:pt>
                  <c:pt idx="26">
                    <c:v>Unit 2</c:v>
                  </c:pt>
                  <c:pt idx="27">
                    <c:v>Unit 3</c:v>
                  </c:pt>
                </c:lvl>
                <c:lvl>
                  <c:pt idx="0">
                    <c:v>Sunday</c:v>
                  </c:pt>
                  <c:pt idx="4">
                    <c:v>Monday</c:v>
                  </c:pt>
                  <c:pt idx="8">
                    <c:v>Tuesday</c:v>
                  </c:pt>
                  <c:pt idx="12">
                    <c:v>Wednesday</c:v>
                  </c:pt>
                  <c:pt idx="16">
                    <c:v>Thursday</c:v>
                  </c:pt>
                  <c:pt idx="20">
                    <c:v>Friday</c:v>
                  </c:pt>
                  <c:pt idx="24">
                    <c:v>Saturday</c:v>
                  </c:pt>
                </c:lvl>
              </c:multiLvlStrCache>
            </c:multiLvlStrRef>
          </c:cat>
          <c:val>
            <c:numRef>
              <c:f>'Time Location Falls Summary'!$F$12:$F$39</c:f>
              <c:numCache>
                <c:formatCode>0%</c:formatCode>
                <c:ptCount val="28"/>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pt idx="12" formatCode="General">
                  <c:v>0</c:v>
                </c:pt>
                <c:pt idx="13">
                  <c:v>0</c:v>
                </c:pt>
                <c:pt idx="14">
                  <c:v>0</c:v>
                </c:pt>
                <c:pt idx="15">
                  <c:v>0</c:v>
                </c:pt>
                <c:pt idx="16" formatCode="General">
                  <c:v>0</c:v>
                </c:pt>
                <c:pt idx="17">
                  <c:v>0</c:v>
                </c:pt>
                <c:pt idx="18">
                  <c:v>0</c:v>
                </c:pt>
                <c:pt idx="19">
                  <c:v>0</c:v>
                </c:pt>
                <c:pt idx="20" formatCode="General">
                  <c:v>0</c:v>
                </c:pt>
                <c:pt idx="21">
                  <c:v>0</c:v>
                </c:pt>
                <c:pt idx="22">
                  <c:v>0</c:v>
                </c:pt>
                <c:pt idx="23">
                  <c:v>0</c:v>
                </c:pt>
                <c:pt idx="24" formatCode="General">
                  <c:v>0</c:v>
                </c:pt>
                <c:pt idx="25">
                  <c:v>0</c:v>
                </c:pt>
                <c:pt idx="26">
                  <c:v>0</c:v>
                </c:pt>
                <c:pt idx="27">
                  <c:v>0</c:v>
                </c:pt>
              </c:numCache>
            </c:numRef>
          </c:val>
          <c:extLst>
            <c:ext xmlns:c16="http://schemas.microsoft.com/office/drawing/2014/chart" uri="{C3380CC4-5D6E-409C-BE32-E72D297353CC}">
              <c16:uniqueId val="{00000000-71C7-4182-8510-8BE08B92E7C3}"/>
            </c:ext>
          </c:extLst>
        </c:ser>
        <c:ser>
          <c:idx val="3"/>
          <c:order val="3"/>
          <c:tx>
            <c:strRef>
              <c:f>'Time Location Falls Summary'!$H$10:$H$11</c:f>
              <c:strCache>
                <c:ptCount val="2"/>
                <c:pt idx="0">
                  <c:v>YTD</c:v>
                </c:pt>
                <c:pt idx="1">
                  <c:v>% by Day</c:v>
                </c:pt>
              </c:strCache>
            </c:strRef>
          </c:tx>
          <c:spPr>
            <a:solidFill>
              <a:srgbClr val="006DB7"/>
            </a:solidFill>
            <a:ln>
              <a:solidFill>
                <a:srgbClr val="006DB7"/>
              </a:solidFill>
            </a:ln>
            <a:effectLst/>
          </c:spPr>
          <c:invertIfNegative val="0"/>
          <c:dLbls>
            <c:delete val="1"/>
          </c:dLbls>
          <c:cat>
            <c:multiLvlStrRef>
              <c:f>'Time Location Falls Summary'!$C$12:$D$39</c:f>
              <c:multiLvlStrCache>
                <c:ptCount val="28"/>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pt idx="12">
                    <c:v>Entire Facility</c:v>
                  </c:pt>
                  <c:pt idx="13">
                    <c:v>Unit 1</c:v>
                  </c:pt>
                  <c:pt idx="14">
                    <c:v>Unit 2</c:v>
                  </c:pt>
                  <c:pt idx="15">
                    <c:v>Unit 3</c:v>
                  </c:pt>
                  <c:pt idx="16">
                    <c:v>Entire Facility</c:v>
                  </c:pt>
                  <c:pt idx="17">
                    <c:v>Unit 1</c:v>
                  </c:pt>
                  <c:pt idx="18">
                    <c:v>Unit 2</c:v>
                  </c:pt>
                  <c:pt idx="19">
                    <c:v>Unit 3</c:v>
                  </c:pt>
                  <c:pt idx="20">
                    <c:v>Entire Facility</c:v>
                  </c:pt>
                  <c:pt idx="21">
                    <c:v>Unit 1</c:v>
                  </c:pt>
                  <c:pt idx="22">
                    <c:v>Unit 2</c:v>
                  </c:pt>
                  <c:pt idx="23">
                    <c:v>Unit 3</c:v>
                  </c:pt>
                  <c:pt idx="24">
                    <c:v>Entire Facility</c:v>
                  </c:pt>
                  <c:pt idx="25">
                    <c:v>Unit 1</c:v>
                  </c:pt>
                  <c:pt idx="26">
                    <c:v>Unit 2</c:v>
                  </c:pt>
                  <c:pt idx="27">
                    <c:v>Unit 3</c:v>
                  </c:pt>
                </c:lvl>
                <c:lvl>
                  <c:pt idx="0">
                    <c:v>Sunday</c:v>
                  </c:pt>
                  <c:pt idx="4">
                    <c:v>Monday</c:v>
                  </c:pt>
                  <c:pt idx="8">
                    <c:v>Tuesday</c:v>
                  </c:pt>
                  <c:pt idx="12">
                    <c:v>Wednesday</c:v>
                  </c:pt>
                  <c:pt idx="16">
                    <c:v>Thursday</c:v>
                  </c:pt>
                  <c:pt idx="20">
                    <c:v>Friday</c:v>
                  </c:pt>
                  <c:pt idx="24">
                    <c:v>Saturday</c:v>
                  </c:pt>
                </c:lvl>
              </c:multiLvlStrCache>
            </c:multiLvlStrRef>
          </c:cat>
          <c:val>
            <c:numRef>
              <c:f>'Time Location Falls Summary'!$H$12:$H$39</c:f>
              <c:numCache>
                <c:formatCode>0%</c:formatCode>
                <c:ptCount val="28"/>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pt idx="12" formatCode="General">
                  <c:v>0</c:v>
                </c:pt>
                <c:pt idx="13">
                  <c:v>0</c:v>
                </c:pt>
                <c:pt idx="14">
                  <c:v>0</c:v>
                </c:pt>
                <c:pt idx="15">
                  <c:v>0</c:v>
                </c:pt>
                <c:pt idx="16" formatCode="General">
                  <c:v>0</c:v>
                </c:pt>
                <c:pt idx="17">
                  <c:v>0</c:v>
                </c:pt>
                <c:pt idx="18">
                  <c:v>0</c:v>
                </c:pt>
                <c:pt idx="19">
                  <c:v>0</c:v>
                </c:pt>
                <c:pt idx="20" formatCode="General">
                  <c:v>0</c:v>
                </c:pt>
                <c:pt idx="21">
                  <c:v>0</c:v>
                </c:pt>
                <c:pt idx="22">
                  <c:v>0</c:v>
                </c:pt>
                <c:pt idx="23">
                  <c:v>0</c:v>
                </c:pt>
                <c:pt idx="24" formatCode="General">
                  <c:v>0</c:v>
                </c:pt>
                <c:pt idx="25">
                  <c:v>0</c:v>
                </c:pt>
                <c:pt idx="26">
                  <c:v>0</c:v>
                </c:pt>
                <c:pt idx="27">
                  <c:v>0</c:v>
                </c:pt>
              </c:numCache>
            </c:numRef>
          </c:val>
          <c:extLst>
            <c:ext xmlns:c16="http://schemas.microsoft.com/office/drawing/2014/chart" uri="{C3380CC4-5D6E-409C-BE32-E72D297353CC}">
              <c16:uniqueId val="{00000001-71C7-4182-8510-8BE08B92E7C3}"/>
            </c:ext>
          </c:extLst>
        </c:ser>
        <c:dLbls>
          <c:dLblPos val="outEnd"/>
          <c:showLegendKey val="0"/>
          <c:showVal val="1"/>
          <c:showCatName val="0"/>
          <c:showSerName val="0"/>
          <c:showPercent val="0"/>
          <c:showBubbleSize val="0"/>
        </c:dLbls>
        <c:gapWidth val="75"/>
        <c:axId val="271586335"/>
        <c:axId val="271585503"/>
        <c:extLst>
          <c:ext xmlns:c15="http://schemas.microsoft.com/office/drawing/2012/chart" uri="{02D57815-91ED-43cb-92C2-25804820EDAC}">
            <c15:filteredBarSeries>
              <c15:ser>
                <c:idx val="0"/>
                <c:order val="0"/>
                <c:tx>
                  <c:strRef>
                    <c:extLst>
                      <c:ext uri="{02D57815-91ED-43cb-92C2-25804820EDAC}">
                        <c15:formulaRef>
                          <c15:sqref>'Time Location Falls Summary'!$E$10:$E$11</c15:sqref>
                        </c15:formulaRef>
                      </c:ext>
                    </c:extLst>
                    <c:strCache>
                      <c:ptCount val="2"/>
                      <c:pt idx="0">
                        <c:v>June-26</c:v>
                      </c:pt>
                      <c:pt idx="1">
                        <c:v># by Day</c:v>
                      </c:pt>
                    </c:strCache>
                  </c:strRef>
                </c:tx>
                <c:spPr>
                  <a:solidFill>
                    <a:schemeClr val="accent1">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multiLvlStrRef>
                    <c:extLst>
                      <c:ext uri="{02D57815-91ED-43cb-92C2-25804820EDAC}">
                        <c15:formulaRef>
                          <c15:sqref>'Time Location Falls Summary'!$C$12:$D$39</c15:sqref>
                        </c15:formulaRef>
                      </c:ext>
                    </c:extLst>
                    <c:multiLvlStrCache>
                      <c:ptCount val="28"/>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pt idx="12">
                          <c:v>Entire Facility</c:v>
                        </c:pt>
                        <c:pt idx="13">
                          <c:v>Unit 1</c:v>
                        </c:pt>
                        <c:pt idx="14">
                          <c:v>Unit 2</c:v>
                        </c:pt>
                        <c:pt idx="15">
                          <c:v>Unit 3</c:v>
                        </c:pt>
                        <c:pt idx="16">
                          <c:v>Entire Facility</c:v>
                        </c:pt>
                        <c:pt idx="17">
                          <c:v>Unit 1</c:v>
                        </c:pt>
                        <c:pt idx="18">
                          <c:v>Unit 2</c:v>
                        </c:pt>
                        <c:pt idx="19">
                          <c:v>Unit 3</c:v>
                        </c:pt>
                        <c:pt idx="20">
                          <c:v>Entire Facility</c:v>
                        </c:pt>
                        <c:pt idx="21">
                          <c:v>Unit 1</c:v>
                        </c:pt>
                        <c:pt idx="22">
                          <c:v>Unit 2</c:v>
                        </c:pt>
                        <c:pt idx="23">
                          <c:v>Unit 3</c:v>
                        </c:pt>
                        <c:pt idx="24">
                          <c:v>Entire Facility</c:v>
                        </c:pt>
                        <c:pt idx="25">
                          <c:v>Unit 1</c:v>
                        </c:pt>
                        <c:pt idx="26">
                          <c:v>Unit 2</c:v>
                        </c:pt>
                        <c:pt idx="27">
                          <c:v>Unit 3</c:v>
                        </c:pt>
                      </c:lvl>
                      <c:lvl>
                        <c:pt idx="0">
                          <c:v>Sunday</c:v>
                        </c:pt>
                        <c:pt idx="4">
                          <c:v>Monday</c:v>
                        </c:pt>
                        <c:pt idx="8">
                          <c:v>Tuesday</c:v>
                        </c:pt>
                        <c:pt idx="12">
                          <c:v>Wednesday</c:v>
                        </c:pt>
                        <c:pt idx="16">
                          <c:v>Thursday</c:v>
                        </c:pt>
                        <c:pt idx="20">
                          <c:v>Friday</c:v>
                        </c:pt>
                        <c:pt idx="24">
                          <c:v>Saturday</c:v>
                        </c:pt>
                      </c:lvl>
                    </c:multiLvlStrCache>
                  </c:multiLvlStrRef>
                </c:cat>
                <c:val>
                  <c:numRef>
                    <c:extLst>
                      <c:ext uri="{02D57815-91ED-43cb-92C2-25804820EDAC}">
                        <c15:formulaRef>
                          <c15:sqref>'Time Location Falls Summary'!$E$12:$E$39</c15:sqref>
                        </c15:formulaRef>
                      </c:ext>
                    </c:extLst>
                    <c:numCache>
                      <c:formatCode>General</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2-71C7-4182-8510-8BE08B92E7C3}"/>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'Time Location Falls Summary'!$G$10:$G$11</c15:sqref>
                        </c15:formulaRef>
                      </c:ext>
                    </c:extLst>
                    <c:strCache>
                      <c:ptCount val="2"/>
                      <c:pt idx="0">
                        <c:v>YTD</c:v>
                      </c:pt>
                      <c:pt idx="1">
                        <c:v># by Day</c:v>
                      </c:pt>
                    </c:strCache>
                  </c:strRef>
                </c:tx>
                <c:spPr>
                  <a:solidFill>
                    <a:schemeClr val="accent3">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extLst xmlns:c15="http://schemas.microsoft.com/office/drawing/2012/chart">
                      <c:ext xmlns:c15="http://schemas.microsoft.com/office/drawing/2012/chart" uri="{02D57815-91ED-43cb-92C2-25804820EDAC}">
                        <c15:formulaRef>
                          <c15:sqref>'Time Location Falls Summary'!$C$12:$D$39</c15:sqref>
                        </c15:formulaRef>
                      </c:ext>
                    </c:extLst>
                    <c:multiLvlStrCache>
                      <c:ptCount val="28"/>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pt idx="12">
                          <c:v>Entire Facility</c:v>
                        </c:pt>
                        <c:pt idx="13">
                          <c:v>Unit 1</c:v>
                        </c:pt>
                        <c:pt idx="14">
                          <c:v>Unit 2</c:v>
                        </c:pt>
                        <c:pt idx="15">
                          <c:v>Unit 3</c:v>
                        </c:pt>
                        <c:pt idx="16">
                          <c:v>Entire Facility</c:v>
                        </c:pt>
                        <c:pt idx="17">
                          <c:v>Unit 1</c:v>
                        </c:pt>
                        <c:pt idx="18">
                          <c:v>Unit 2</c:v>
                        </c:pt>
                        <c:pt idx="19">
                          <c:v>Unit 3</c:v>
                        </c:pt>
                        <c:pt idx="20">
                          <c:v>Entire Facility</c:v>
                        </c:pt>
                        <c:pt idx="21">
                          <c:v>Unit 1</c:v>
                        </c:pt>
                        <c:pt idx="22">
                          <c:v>Unit 2</c:v>
                        </c:pt>
                        <c:pt idx="23">
                          <c:v>Unit 3</c:v>
                        </c:pt>
                        <c:pt idx="24">
                          <c:v>Entire Facility</c:v>
                        </c:pt>
                        <c:pt idx="25">
                          <c:v>Unit 1</c:v>
                        </c:pt>
                        <c:pt idx="26">
                          <c:v>Unit 2</c:v>
                        </c:pt>
                        <c:pt idx="27">
                          <c:v>Unit 3</c:v>
                        </c:pt>
                      </c:lvl>
                      <c:lvl>
                        <c:pt idx="0">
                          <c:v>Sunday</c:v>
                        </c:pt>
                        <c:pt idx="4">
                          <c:v>Monday</c:v>
                        </c:pt>
                        <c:pt idx="8">
                          <c:v>Tuesday</c:v>
                        </c:pt>
                        <c:pt idx="12">
                          <c:v>Wednesday</c:v>
                        </c:pt>
                        <c:pt idx="16">
                          <c:v>Thursday</c:v>
                        </c:pt>
                        <c:pt idx="20">
                          <c:v>Friday</c:v>
                        </c:pt>
                        <c:pt idx="24">
                          <c:v>Saturday</c:v>
                        </c:pt>
                      </c:lvl>
                    </c:multiLvlStrCache>
                  </c:multiLvlStrRef>
                </c:cat>
                <c:val>
                  <c:numRef>
                    <c:extLst xmlns:c15="http://schemas.microsoft.com/office/drawing/2012/chart">
                      <c:ext xmlns:c15="http://schemas.microsoft.com/office/drawing/2012/chart" uri="{02D57815-91ED-43cb-92C2-25804820EDAC}">
                        <c15:formulaRef>
                          <c15:sqref>'Time Location Falls Summary'!$G$12:$G$39</c15:sqref>
                        </c15:formulaRef>
                      </c:ext>
                    </c:extLst>
                    <c:numCache>
                      <c:formatCode>General</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3-71C7-4182-8510-8BE08B92E7C3}"/>
                  </c:ext>
                </c:extLst>
              </c15:ser>
            </c15:filteredBarSeries>
          </c:ext>
        </c:extLst>
      </c:barChart>
      <c:catAx>
        <c:axId val="271586335"/>
        <c:scaling>
          <c:orientation val="maxMin"/>
        </c:scaling>
        <c:delete val="0"/>
        <c:axPos val="l"/>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271585503"/>
        <c:crosses val="autoZero"/>
        <c:auto val="1"/>
        <c:lblAlgn val="ctr"/>
        <c:lblOffset val="100"/>
        <c:noMultiLvlLbl val="0"/>
      </c:catAx>
      <c:valAx>
        <c:axId val="271585503"/>
        <c:scaling>
          <c:orientation val="minMax"/>
        </c:scaling>
        <c:delete val="0"/>
        <c:axPos val="t"/>
        <c:majorGridlines>
          <c:spPr>
            <a:ln w="9525" cap="flat" cmpd="sng" algn="ctr">
              <a:solidFill>
                <a:schemeClr val="tx1">
                  <a:lumMod val="5000"/>
                  <a:lumOff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27158633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Falls by Shift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col"/>
        <c:grouping val="clustered"/>
        <c:varyColors val="0"/>
        <c:ser>
          <c:idx val="1"/>
          <c:order val="1"/>
          <c:tx>
            <c:strRef>
              <c:f>'Time Location Falls Summary'!$F$42:$F$43</c:f>
              <c:strCache>
                <c:ptCount val="2"/>
                <c:pt idx="0">
                  <c:v>June-26</c:v>
                </c:pt>
                <c:pt idx="1">
                  <c:v>% by Shift</c:v>
                </c:pt>
              </c:strCache>
            </c:strRef>
          </c:tx>
          <c:spPr>
            <a:solidFill>
              <a:srgbClr val="D663A6"/>
            </a:solidFill>
            <a:ln>
              <a:solidFill>
                <a:srgbClr val="D663A6"/>
              </a:solidFill>
            </a:ln>
            <a:effectLst/>
          </c:spPr>
          <c:invertIfNegative val="0"/>
          <c:cat>
            <c:multiLvlStrRef>
              <c:f>'Time Location Falls Summary'!$C$44:$D$55</c:f>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Days</c:v>
                  </c:pt>
                  <c:pt idx="4">
                    <c:v>Evenings</c:v>
                  </c:pt>
                  <c:pt idx="8">
                    <c:v>Nights</c:v>
                  </c:pt>
                </c:lvl>
              </c:multiLvlStrCache>
            </c:multiLvlStrRef>
          </c:cat>
          <c:val>
            <c:numRef>
              <c:f>'Time Location Falls Summary'!$F$44:$F$55</c:f>
              <c:numCache>
                <c:formatCode>0%</c:formatCode>
                <c:ptCount val="12"/>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numCache>
            </c:numRef>
          </c:val>
          <c:extLst>
            <c:ext xmlns:c16="http://schemas.microsoft.com/office/drawing/2014/chart" uri="{C3380CC4-5D6E-409C-BE32-E72D297353CC}">
              <c16:uniqueId val="{00000000-DB19-4E1B-AF1A-0B10DAC05E17}"/>
            </c:ext>
          </c:extLst>
        </c:ser>
        <c:ser>
          <c:idx val="3"/>
          <c:order val="3"/>
          <c:tx>
            <c:strRef>
              <c:f>'Time Location Falls Summary'!$H$42:$H$43</c:f>
              <c:strCache>
                <c:ptCount val="2"/>
                <c:pt idx="0">
                  <c:v>YTD</c:v>
                </c:pt>
                <c:pt idx="1">
                  <c:v>% by Shift</c:v>
                </c:pt>
              </c:strCache>
            </c:strRef>
          </c:tx>
          <c:spPr>
            <a:solidFill>
              <a:srgbClr val="006DB7"/>
            </a:solidFill>
            <a:ln>
              <a:solidFill>
                <a:srgbClr val="006DB7"/>
              </a:solidFill>
            </a:ln>
            <a:effectLst/>
          </c:spPr>
          <c:invertIfNegative val="0"/>
          <c:cat>
            <c:multiLvlStrRef>
              <c:f>'Time Location Falls Summary'!$C$44:$D$55</c:f>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Days</c:v>
                  </c:pt>
                  <c:pt idx="4">
                    <c:v>Evenings</c:v>
                  </c:pt>
                  <c:pt idx="8">
                    <c:v>Nights</c:v>
                  </c:pt>
                </c:lvl>
              </c:multiLvlStrCache>
            </c:multiLvlStrRef>
          </c:cat>
          <c:val>
            <c:numRef>
              <c:f>'Time Location Falls Summary'!$H$44:$H$55</c:f>
              <c:numCache>
                <c:formatCode>0%</c:formatCode>
                <c:ptCount val="12"/>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numCache>
            </c:numRef>
          </c:val>
          <c:extLst>
            <c:ext xmlns:c16="http://schemas.microsoft.com/office/drawing/2014/chart" uri="{C3380CC4-5D6E-409C-BE32-E72D297353CC}">
              <c16:uniqueId val="{00000001-DB19-4E1B-AF1A-0B10DAC05E17}"/>
            </c:ext>
          </c:extLst>
        </c:ser>
        <c:dLbls>
          <c:showLegendKey val="0"/>
          <c:showVal val="0"/>
          <c:showCatName val="0"/>
          <c:showSerName val="0"/>
          <c:showPercent val="0"/>
          <c:showBubbleSize val="0"/>
        </c:dLbls>
        <c:gapWidth val="219"/>
        <c:overlap val="-27"/>
        <c:axId val="879354351"/>
        <c:axId val="879357263"/>
        <c:extLst>
          <c:ext xmlns:c15="http://schemas.microsoft.com/office/drawing/2012/chart" uri="{02D57815-91ED-43cb-92C2-25804820EDAC}">
            <c15:filteredBarSeries>
              <c15:ser>
                <c:idx val="0"/>
                <c:order val="0"/>
                <c:tx>
                  <c:strRef>
                    <c:extLst>
                      <c:ext uri="{02D57815-91ED-43cb-92C2-25804820EDAC}">
                        <c15:formulaRef>
                          <c15:sqref>'Time Location Falls Summary'!$E$42:$E$43</c15:sqref>
                        </c15:formulaRef>
                      </c:ext>
                    </c:extLst>
                    <c:strCache>
                      <c:ptCount val="2"/>
                      <c:pt idx="0">
                        <c:v>June-26</c:v>
                      </c:pt>
                      <c:pt idx="1">
                        <c:v># by Shift</c:v>
                      </c:pt>
                    </c:strCache>
                  </c:strRef>
                </c:tx>
                <c:spPr>
                  <a:solidFill>
                    <a:schemeClr val="accent1"/>
                  </a:solidFill>
                  <a:ln>
                    <a:noFill/>
                  </a:ln>
                  <a:effectLst/>
                </c:spPr>
                <c:invertIfNegative val="0"/>
                <c:cat>
                  <c:multiLvlStrRef>
                    <c:extLst>
                      <c:ext uri="{02D57815-91ED-43cb-92C2-25804820EDAC}">
                        <c15:formulaRef>
                          <c15:sqref>'Time Location Falls Summary'!$C$44:$D$55</c15:sqref>
                        </c15:formulaRef>
                      </c:ext>
                    </c:extLst>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Days</c:v>
                        </c:pt>
                        <c:pt idx="4">
                          <c:v>Evenings</c:v>
                        </c:pt>
                        <c:pt idx="8">
                          <c:v>Nights</c:v>
                        </c:pt>
                      </c:lvl>
                    </c:multiLvlStrCache>
                  </c:multiLvlStrRef>
                </c:cat>
                <c:val>
                  <c:numRef>
                    <c:extLst>
                      <c:ext uri="{02D57815-91ED-43cb-92C2-25804820EDAC}">
                        <c15:formulaRef>
                          <c15:sqref>'Time Location Falls Summary'!$E$44:$E$55</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DB19-4E1B-AF1A-0B10DAC05E1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'Time Location Falls Summary'!$G$42:$G$43</c15:sqref>
                        </c15:formulaRef>
                      </c:ext>
                    </c:extLst>
                    <c:strCache>
                      <c:ptCount val="2"/>
                      <c:pt idx="0">
                        <c:v>YTD</c:v>
                      </c:pt>
                      <c:pt idx="1">
                        <c:v># by Shift</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'Time Location Falls Summary'!$C$44:$D$55</c15:sqref>
                        </c15:formulaRef>
                      </c:ext>
                    </c:extLst>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Days</c:v>
                        </c:pt>
                        <c:pt idx="4">
                          <c:v>Evenings</c:v>
                        </c:pt>
                        <c:pt idx="8">
                          <c:v>Nights</c:v>
                        </c:pt>
                      </c:lvl>
                    </c:multiLvlStrCache>
                  </c:multiLvlStrRef>
                </c:cat>
                <c:val>
                  <c:numRef>
                    <c:extLst xmlns:c15="http://schemas.microsoft.com/office/drawing/2012/chart">
                      <c:ext xmlns:c15="http://schemas.microsoft.com/office/drawing/2012/chart" uri="{02D57815-91ED-43cb-92C2-25804820EDAC}">
                        <c15:formulaRef>
                          <c15:sqref>'Time Location Falls Summary'!$G$44:$G$55</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DB19-4E1B-AF1A-0B10DAC05E17}"/>
                  </c:ext>
                </c:extLst>
              </c15:ser>
            </c15:filteredBarSeries>
          </c:ext>
        </c:extLst>
      </c:barChart>
      <c:catAx>
        <c:axId val="879354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879357263"/>
        <c:crosses val="autoZero"/>
        <c:auto val="1"/>
        <c:lblAlgn val="ctr"/>
        <c:lblOffset val="100"/>
        <c:noMultiLvlLbl val="0"/>
      </c:catAx>
      <c:valAx>
        <c:axId val="87935726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879354351"/>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 by Time: Day Shift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bar"/>
        <c:grouping val="clustered"/>
        <c:varyColors val="0"/>
        <c:ser>
          <c:idx val="1"/>
          <c:order val="1"/>
          <c:tx>
            <c:strRef>
              <c:f>'Time Location Falls Summary'!$F$62:$F$63</c:f>
              <c:strCache>
                <c:ptCount val="2"/>
                <c:pt idx="0">
                  <c:v>June-26</c:v>
                </c:pt>
                <c:pt idx="1">
                  <c:v>% by Time</c:v>
                </c:pt>
              </c:strCache>
            </c:strRef>
          </c:tx>
          <c:spPr>
            <a:solidFill>
              <a:srgbClr val="D663A6"/>
            </a:solidFill>
            <a:ln>
              <a:solidFill>
                <a:srgbClr val="D663A6"/>
              </a:solidFill>
            </a:ln>
            <a:effectLst/>
          </c:spPr>
          <c:invertIfNegative val="0"/>
          <c:cat>
            <c:multiLvlStrRef>
              <c:f>'Time Location Falls Summary'!$C$64:$D$79</c:f>
              <c:multiLvlStrCache>
                <c:ptCount val="16"/>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pt idx="12">
                    <c:v>Entire Facility</c:v>
                  </c:pt>
                  <c:pt idx="13">
                    <c:v>Unit 1</c:v>
                  </c:pt>
                  <c:pt idx="14">
                    <c:v>Unit 2</c:v>
                  </c:pt>
                  <c:pt idx="15">
                    <c:v>Unit 3</c:v>
                  </c:pt>
                </c:lvl>
                <c:lvl>
                  <c:pt idx="0">
                    <c:v>7 am to 9:59 am</c:v>
                  </c:pt>
                  <c:pt idx="4">
                    <c:v>10 am to 11:59 am</c:v>
                  </c:pt>
                  <c:pt idx="8">
                    <c:v>12 pm to 1:29 pm</c:v>
                  </c:pt>
                  <c:pt idx="12">
                    <c:v>1:30 pm to 2:59 pm</c:v>
                  </c:pt>
                </c:lvl>
              </c:multiLvlStrCache>
            </c:multiLvlStrRef>
          </c:cat>
          <c:val>
            <c:numRef>
              <c:f>'Time Location Falls Summary'!$F$64:$F$79</c:f>
              <c:numCache>
                <c:formatCode>0%</c:formatCode>
                <c:ptCount val="16"/>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pt idx="12" formatCode="General">
                  <c:v>0</c:v>
                </c:pt>
                <c:pt idx="13">
                  <c:v>0</c:v>
                </c:pt>
                <c:pt idx="14">
                  <c:v>0</c:v>
                </c:pt>
                <c:pt idx="15">
                  <c:v>0</c:v>
                </c:pt>
              </c:numCache>
            </c:numRef>
          </c:val>
          <c:extLst>
            <c:ext xmlns:c16="http://schemas.microsoft.com/office/drawing/2014/chart" uri="{C3380CC4-5D6E-409C-BE32-E72D297353CC}">
              <c16:uniqueId val="{00000000-10C9-4266-A2C8-F766CD9990DA}"/>
            </c:ext>
          </c:extLst>
        </c:ser>
        <c:ser>
          <c:idx val="3"/>
          <c:order val="3"/>
          <c:tx>
            <c:strRef>
              <c:f>'Time Location Falls Summary'!$H$62:$H$63</c:f>
              <c:strCache>
                <c:ptCount val="2"/>
                <c:pt idx="0">
                  <c:v>YTD</c:v>
                </c:pt>
                <c:pt idx="1">
                  <c:v>% by Time</c:v>
                </c:pt>
              </c:strCache>
            </c:strRef>
          </c:tx>
          <c:spPr>
            <a:solidFill>
              <a:srgbClr val="006DB7"/>
            </a:solidFill>
            <a:ln>
              <a:solidFill>
                <a:srgbClr val="006DB7"/>
              </a:solidFill>
            </a:ln>
            <a:effectLst/>
          </c:spPr>
          <c:invertIfNegative val="0"/>
          <c:cat>
            <c:multiLvlStrRef>
              <c:f>'Time Location Falls Summary'!$C$64:$D$79</c:f>
              <c:multiLvlStrCache>
                <c:ptCount val="16"/>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pt idx="12">
                    <c:v>Entire Facility</c:v>
                  </c:pt>
                  <c:pt idx="13">
                    <c:v>Unit 1</c:v>
                  </c:pt>
                  <c:pt idx="14">
                    <c:v>Unit 2</c:v>
                  </c:pt>
                  <c:pt idx="15">
                    <c:v>Unit 3</c:v>
                  </c:pt>
                </c:lvl>
                <c:lvl>
                  <c:pt idx="0">
                    <c:v>7 am to 9:59 am</c:v>
                  </c:pt>
                  <c:pt idx="4">
                    <c:v>10 am to 11:59 am</c:v>
                  </c:pt>
                  <c:pt idx="8">
                    <c:v>12 pm to 1:29 pm</c:v>
                  </c:pt>
                  <c:pt idx="12">
                    <c:v>1:30 pm to 2:59 pm</c:v>
                  </c:pt>
                </c:lvl>
              </c:multiLvlStrCache>
            </c:multiLvlStrRef>
          </c:cat>
          <c:val>
            <c:numRef>
              <c:f>'Time Location Falls Summary'!$H$64:$H$79</c:f>
              <c:numCache>
                <c:formatCode>0%</c:formatCode>
                <c:ptCount val="16"/>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pt idx="12" formatCode="General">
                  <c:v>0</c:v>
                </c:pt>
                <c:pt idx="13">
                  <c:v>0</c:v>
                </c:pt>
                <c:pt idx="14">
                  <c:v>0</c:v>
                </c:pt>
                <c:pt idx="15">
                  <c:v>0</c:v>
                </c:pt>
              </c:numCache>
            </c:numRef>
          </c:val>
          <c:extLst>
            <c:ext xmlns:c16="http://schemas.microsoft.com/office/drawing/2014/chart" uri="{C3380CC4-5D6E-409C-BE32-E72D297353CC}">
              <c16:uniqueId val="{00000001-10C9-4266-A2C8-F766CD9990DA}"/>
            </c:ext>
          </c:extLst>
        </c:ser>
        <c:dLbls>
          <c:showLegendKey val="0"/>
          <c:showVal val="0"/>
          <c:showCatName val="0"/>
          <c:showSerName val="0"/>
          <c:showPercent val="0"/>
          <c:showBubbleSize val="0"/>
        </c:dLbls>
        <c:gapWidth val="75"/>
        <c:overlap val="-25"/>
        <c:axId val="898489215"/>
        <c:axId val="898471327"/>
        <c:extLst>
          <c:ext xmlns:c15="http://schemas.microsoft.com/office/drawing/2012/chart" uri="{02D57815-91ED-43cb-92C2-25804820EDAC}">
            <c15:filteredBarSeries>
              <c15:ser>
                <c:idx val="0"/>
                <c:order val="0"/>
                <c:tx>
                  <c:strRef>
                    <c:extLst>
                      <c:ext uri="{02D57815-91ED-43cb-92C2-25804820EDAC}">
                        <c15:formulaRef>
                          <c15:sqref>'Time Location Falls Summary'!$E$62:$E$63</c15:sqref>
                        </c15:formulaRef>
                      </c:ext>
                    </c:extLst>
                    <c:strCache>
                      <c:ptCount val="2"/>
                      <c:pt idx="0">
                        <c:v>June-26</c:v>
                      </c:pt>
                      <c:pt idx="1">
                        <c:v># by Time</c:v>
                      </c:pt>
                    </c:strCache>
                  </c:strRef>
                </c:tx>
                <c:spPr>
                  <a:solidFill>
                    <a:schemeClr val="accent1"/>
                  </a:solidFill>
                  <a:ln>
                    <a:noFill/>
                  </a:ln>
                  <a:effectLst/>
                </c:spPr>
                <c:invertIfNegative val="0"/>
                <c:cat>
                  <c:multiLvlStrRef>
                    <c:extLst>
                      <c:ext uri="{02D57815-91ED-43cb-92C2-25804820EDAC}">
                        <c15:formulaRef>
                          <c15:sqref>'Time Location Falls Summary'!$C$64:$D$79</c15:sqref>
                        </c15:formulaRef>
                      </c:ext>
                    </c:extLst>
                    <c:multiLvlStrCache>
                      <c:ptCount val="16"/>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pt idx="12">
                          <c:v>Entire Facility</c:v>
                        </c:pt>
                        <c:pt idx="13">
                          <c:v>Unit 1</c:v>
                        </c:pt>
                        <c:pt idx="14">
                          <c:v>Unit 2</c:v>
                        </c:pt>
                        <c:pt idx="15">
                          <c:v>Unit 3</c:v>
                        </c:pt>
                      </c:lvl>
                      <c:lvl>
                        <c:pt idx="0">
                          <c:v>7 am to 9:59 am</c:v>
                        </c:pt>
                        <c:pt idx="4">
                          <c:v>10 am to 11:59 am</c:v>
                        </c:pt>
                        <c:pt idx="8">
                          <c:v>12 pm to 1:29 pm</c:v>
                        </c:pt>
                        <c:pt idx="12">
                          <c:v>1:30 pm to 2:59 pm</c:v>
                        </c:pt>
                      </c:lvl>
                    </c:multiLvlStrCache>
                  </c:multiLvlStrRef>
                </c:cat>
                <c:val>
                  <c:numRef>
                    <c:extLst>
                      <c:ext uri="{02D57815-91ED-43cb-92C2-25804820EDAC}">
                        <c15:formulaRef>
                          <c15:sqref>'Time Location Falls Summary'!$E$64:$E$79</c15:sqref>
                        </c15:formulaRef>
                      </c:ext>
                    </c:extLst>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10C9-4266-A2C8-F766CD9990DA}"/>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'Time Location Falls Summary'!$G$62:$G$63</c15:sqref>
                        </c15:formulaRef>
                      </c:ext>
                    </c:extLst>
                    <c:strCache>
                      <c:ptCount val="2"/>
                      <c:pt idx="0">
                        <c:v>YTD</c:v>
                      </c:pt>
                      <c:pt idx="1">
                        <c:v># by Time</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'Time Location Falls Summary'!$C$64:$D$79</c15:sqref>
                        </c15:formulaRef>
                      </c:ext>
                    </c:extLst>
                    <c:multiLvlStrCache>
                      <c:ptCount val="16"/>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pt idx="12">
                          <c:v>Entire Facility</c:v>
                        </c:pt>
                        <c:pt idx="13">
                          <c:v>Unit 1</c:v>
                        </c:pt>
                        <c:pt idx="14">
                          <c:v>Unit 2</c:v>
                        </c:pt>
                        <c:pt idx="15">
                          <c:v>Unit 3</c:v>
                        </c:pt>
                      </c:lvl>
                      <c:lvl>
                        <c:pt idx="0">
                          <c:v>7 am to 9:59 am</c:v>
                        </c:pt>
                        <c:pt idx="4">
                          <c:v>10 am to 11:59 am</c:v>
                        </c:pt>
                        <c:pt idx="8">
                          <c:v>12 pm to 1:29 pm</c:v>
                        </c:pt>
                        <c:pt idx="12">
                          <c:v>1:30 pm to 2:59 pm</c:v>
                        </c:pt>
                      </c:lvl>
                    </c:multiLvlStrCache>
                  </c:multiLvlStrRef>
                </c:cat>
                <c:val>
                  <c:numRef>
                    <c:extLst xmlns:c15="http://schemas.microsoft.com/office/drawing/2012/chart">
                      <c:ext xmlns:c15="http://schemas.microsoft.com/office/drawing/2012/chart" uri="{02D57815-91ED-43cb-92C2-25804820EDAC}">
                        <c15:formulaRef>
                          <c15:sqref>'Time Location Falls Summary'!$G$64:$G$79</c15:sqref>
                        </c15:formulaRef>
                      </c:ext>
                    </c:extLst>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xmlns:c15="http://schemas.microsoft.com/office/drawing/2012/chart">
                  <c:ext xmlns:c16="http://schemas.microsoft.com/office/drawing/2014/chart" uri="{C3380CC4-5D6E-409C-BE32-E72D297353CC}">
                    <c16:uniqueId val="{00000003-10C9-4266-A2C8-F766CD9990DA}"/>
                  </c:ext>
                </c:extLst>
              </c15:ser>
            </c15:filteredBarSeries>
          </c:ext>
        </c:extLst>
      </c:barChart>
      <c:catAx>
        <c:axId val="89848921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898471327"/>
        <c:crosses val="autoZero"/>
        <c:auto val="1"/>
        <c:lblAlgn val="ctr"/>
        <c:lblOffset val="100"/>
        <c:noMultiLvlLbl val="0"/>
      </c:catAx>
      <c:valAx>
        <c:axId val="898471327"/>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8984892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 by Time: Evening Shift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bar"/>
        <c:grouping val="clustered"/>
        <c:varyColors val="0"/>
        <c:ser>
          <c:idx val="1"/>
          <c:order val="1"/>
          <c:tx>
            <c:strRef>
              <c:f>'Time Location Falls Summary'!$F$81</c:f>
              <c:strCache>
                <c:ptCount val="1"/>
                <c:pt idx="0">
                  <c:v>% by Time</c:v>
                </c:pt>
              </c:strCache>
            </c:strRef>
          </c:tx>
          <c:spPr>
            <a:solidFill>
              <a:srgbClr val="D663A6"/>
            </a:solidFill>
            <a:ln>
              <a:solidFill>
                <a:srgbClr val="D663A6"/>
              </a:solidFill>
            </a:ln>
            <a:effectLst/>
          </c:spPr>
          <c:invertIfNegative val="0"/>
          <c:cat>
            <c:multiLvlStrRef>
              <c:f>'Time Location Falls Summary'!$C$82:$D$93</c:f>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3 pm to 4:59 pm</c:v>
                  </c:pt>
                  <c:pt idx="4">
                    <c:v>5 pm to 7:59 pm</c:v>
                  </c:pt>
                  <c:pt idx="8">
                    <c:v>8 pm to 10:59 pm</c:v>
                  </c:pt>
                </c:lvl>
              </c:multiLvlStrCache>
            </c:multiLvlStrRef>
          </c:cat>
          <c:val>
            <c:numRef>
              <c:f>'Time Location Falls Summary'!$F$82:$F$93</c:f>
              <c:numCache>
                <c:formatCode>0%</c:formatCode>
                <c:ptCount val="12"/>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numCache>
            </c:numRef>
          </c:val>
          <c:extLst>
            <c:ext xmlns:c16="http://schemas.microsoft.com/office/drawing/2014/chart" uri="{C3380CC4-5D6E-409C-BE32-E72D297353CC}">
              <c16:uniqueId val="{00000000-EDEC-4D6F-808D-49F82A9685B2}"/>
            </c:ext>
          </c:extLst>
        </c:ser>
        <c:ser>
          <c:idx val="3"/>
          <c:order val="3"/>
          <c:tx>
            <c:strRef>
              <c:f>'Time Location Falls Summary'!$H$81</c:f>
              <c:strCache>
                <c:ptCount val="1"/>
                <c:pt idx="0">
                  <c:v>% by Time</c:v>
                </c:pt>
              </c:strCache>
            </c:strRef>
          </c:tx>
          <c:spPr>
            <a:solidFill>
              <a:srgbClr val="006DB7"/>
            </a:solidFill>
            <a:ln>
              <a:solidFill>
                <a:srgbClr val="006DB7"/>
              </a:solidFill>
            </a:ln>
            <a:effectLst/>
          </c:spPr>
          <c:invertIfNegative val="0"/>
          <c:cat>
            <c:multiLvlStrRef>
              <c:f>'Time Location Falls Summary'!$C$82:$D$93</c:f>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3 pm to 4:59 pm</c:v>
                  </c:pt>
                  <c:pt idx="4">
                    <c:v>5 pm to 7:59 pm</c:v>
                  </c:pt>
                  <c:pt idx="8">
                    <c:v>8 pm to 10:59 pm</c:v>
                  </c:pt>
                </c:lvl>
              </c:multiLvlStrCache>
            </c:multiLvlStrRef>
          </c:cat>
          <c:val>
            <c:numRef>
              <c:f>'Time Location Falls Summary'!$H$82:$H$93</c:f>
              <c:numCache>
                <c:formatCode>0%</c:formatCode>
                <c:ptCount val="12"/>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numCache>
            </c:numRef>
          </c:val>
          <c:extLst>
            <c:ext xmlns:c16="http://schemas.microsoft.com/office/drawing/2014/chart" uri="{C3380CC4-5D6E-409C-BE32-E72D297353CC}">
              <c16:uniqueId val="{00000001-EDEC-4D6F-808D-49F82A9685B2}"/>
            </c:ext>
          </c:extLst>
        </c:ser>
        <c:dLbls>
          <c:showLegendKey val="0"/>
          <c:showVal val="0"/>
          <c:showCatName val="0"/>
          <c:showSerName val="0"/>
          <c:showPercent val="0"/>
          <c:showBubbleSize val="0"/>
        </c:dLbls>
        <c:gapWidth val="182"/>
        <c:axId val="671845167"/>
        <c:axId val="671840591"/>
        <c:extLst>
          <c:ext xmlns:c15="http://schemas.microsoft.com/office/drawing/2012/chart" uri="{02D57815-91ED-43cb-92C2-25804820EDAC}">
            <c15:filteredBarSeries>
              <c15:ser>
                <c:idx val="0"/>
                <c:order val="0"/>
                <c:tx>
                  <c:strRef>
                    <c:extLst>
                      <c:ext uri="{02D57815-91ED-43cb-92C2-25804820EDAC}">
                        <c15:formulaRef>
                          <c15:sqref>'Time Location Falls Summary'!$E$81</c15:sqref>
                        </c15:formulaRef>
                      </c:ext>
                    </c:extLst>
                    <c:strCache>
                      <c:ptCount val="1"/>
                      <c:pt idx="0">
                        <c:v># by Time</c:v>
                      </c:pt>
                    </c:strCache>
                  </c:strRef>
                </c:tx>
                <c:spPr>
                  <a:solidFill>
                    <a:schemeClr val="accent1"/>
                  </a:solidFill>
                  <a:ln>
                    <a:noFill/>
                  </a:ln>
                  <a:effectLst/>
                </c:spPr>
                <c:invertIfNegative val="0"/>
                <c:cat>
                  <c:multiLvlStrRef>
                    <c:extLst>
                      <c:ext uri="{02D57815-91ED-43cb-92C2-25804820EDAC}">
                        <c15:formulaRef>
                          <c15:sqref>'Time Location Falls Summary'!$C$82:$D$93</c15:sqref>
                        </c15:formulaRef>
                      </c:ext>
                    </c:extLst>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3 pm to 4:59 pm</c:v>
                        </c:pt>
                        <c:pt idx="4">
                          <c:v>5 pm to 7:59 pm</c:v>
                        </c:pt>
                        <c:pt idx="8">
                          <c:v>8 pm to 10:59 pm</c:v>
                        </c:pt>
                      </c:lvl>
                    </c:multiLvlStrCache>
                  </c:multiLvlStrRef>
                </c:cat>
                <c:val>
                  <c:numRef>
                    <c:extLst>
                      <c:ext uri="{02D57815-91ED-43cb-92C2-25804820EDAC}">
                        <c15:formulaRef>
                          <c15:sqref>'Time Location Falls Summary'!$E$82:$E$93</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EDEC-4D6F-808D-49F82A9685B2}"/>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'Time Location Falls Summary'!$G$81</c15:sqref>
                        </c15:formulaRef>
                      </c:ext>
                    </c:extLst>
                    <c:strCache>
                      <c:ptCount val="1"/>
                      <c:pt idx="0">
                        <c:v># by Time</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'Time Location Falls Summary'!$C$82:$D$93</c15:sqref>
                        </c15:formulaRef>
                      </c:ext>
                    </c:extLst>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3 pm to 4:59 pm</c:v>
                        </c:pt>
                        <c:pt idx="4">
                          <c:v>5 pm to 7:59 pm</c:v>
                        </c:pt>
                        <c:pt idx="8">
                          <c:v>8 pm to 10:59 pm</c:v>
                        </c:pt>
                      </c:lvl>
                    </c:multiLvlStrCache>
                  </c:multiLvlStrRef>
                </c:cat>
                <c:val>
                  <c:numRef>
                    <c:extLst xmlns:c15="http://schemas.microsoft.com/office/drawing/2012/chart">
                      <c:ext xmlns:c15="http://schemas.microsoft.com/office/drawing/2012/chart" uri="{02D57815-91ED-43cb-92C2-25804820EDAC}">
                        <c15:formulaRef>
                          <c15:sqref>'Time Location Falls Summary'!$G$82:$G$93</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EDEC-4D6F-808D-49F82A9685B2}"/>
                  </c:ext>
                </c:extLst>
              </c15:ser>
            </c15:filteredBarSeries>
          </c:ext>
        </c:extLst>
      </c:barChart>
      <c:catAx>
        <c:axId val="671845167"/>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671840591"/>
        <c:crosses val="autoZero"/>
        <c:auto val="1"/>
        <c:lblAlgn val="ctr"/>
        <c:lblOffset val="100"/>
        <c:noMultiLvlLbl val="0"/>
      </c:catAx>
      <c:valAx>
        <c:axId val="671840591"/>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67184516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 by Time: Night Shift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bar"/>
        <c:grouping val="clustered"/>
        <c:varyColors val="0"/>
        <c:ser>
          <c:idx val="1"/>
          <c:order val="1"/>
          <c:tx>
            <c:strRef>
              <c:f>'Time Location Falls Summary'!$F$95</c:f>
              <c:strCache>
                <c:ptCount val="1"/>
                <c:pt idx="0">
                  <c:v>% by Time</c:v>
                </c:pt>
              </c:strCache>
            </c:strRef>
          </c:tx>
          <c:spPr>
            <a:solidFill>
              <a:srgbClr val="D663A6"/>
            </a:solidFill>
            <a:ln>
              <a:solidFill>
                <a:srgbClr val="D663A6"/>
              </a:solidFill>
            </a:ln>
            <a:effectLst/>
          </c:spPr>
          <c:invertIfNegative val="0"/>
          <c:cat>
            <c:multiLvlStrRef>
              <c:f>'Time Location Falls Summary'!$C$96:$D$107</c:f>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11 pm to 12:59 am</c:v>
                  </c:pt>
                  <c:pt idx="4">
                    <c:v>1 am to 4:59 am</c:v>
                  </c:pt>
                  <c:pt idx="8">
                    <c:v>5 am to 6:59 am</c:v>
                  </c:pt>
                </c:lvl>
              </c:multiLvlStrCache>
            </c:multiLvlStrRef>
          </c:cat>
          <c:val>
            <c:numRef>
              <c:f>'Time Location Falls Summary'!$F$96:$F$107</c:f>
              <c:numCache>
                <c:formatCode>0%</c:formatCode>
                <c:ptCount val="12"/>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numCache>
            </c:numRef>
          </c:val>
          <c:extLst>
            <c:ext xmlns:c16="http://schemas.microsoft.com/office/drawing/2014/chart" uri="{C3380CC4-5D6E-409C-BE32-E72D297353CC}">
              <c16:uniqueId val="{00000000-FA07-4A63-A40D-AB078660CD91}"/>
            </c:ext>
          </c:extLst>
        </c:ser>
        <c:ser>
          <c:idx val="3"/>
          <c:order val="3"/>
          <c:tx>
            <c:strRef>
              <c:f>'Time Location Falls Summary'!$H$95</c:f>
              <c:strCache>
                <c:ptCount val="1"/>
                <c:pt idx="0">
                  <c:v>% by Time</c:v>
                </c:pt>
              </c:strCache>
            </c:strRef>
          </c:tx>
          <c:spPr>
            <a:solidFill>
              <a:srgbClr val="006DB7"/>
            </a:solidFill>
            <a:ln>
              <a:solidFill>
                <a:srgbClr val="006DB7"/>
              </a:solidFill>
            </a:ln>
            <a:effectLst/>
          </c:spPr>
          <c:invertIfNegative val="0"/>
          <c:cat>
            <c:multiLvlStrRef>
              <c:f>'Time Location Falls Summary'!$C$96:$D$107</c:f>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11 pm to 12:59 am</c:v>
                  </c:pt>
                  <c:pt idx="4">
                    <c:v>1 am to 4:59 am</c:v>
                  </c:pt>
                  <c:pt idx="8">
                    <c:v>5 am to 6:59 am</c:v>
                  </c:pt>
                </c:lvl>
              </c:multiLvlStrCache>
            </c:multiLvlStrRef>
          </c:cat>
          <c:val>
            <c:numRef>
              <c:f>'Time Location Falls Summary'!$H$96:$H$107</c:f>
              <c:numCache>
                <c:formatCode>0%</c:formatCode>
                <c:ptCount val="12"/>
                <c:pt idx="0" formatCode="General">
                  <c:v>0</c:v>
                </c:pt>
                <c:pt idx="1">
                  <c:v>0</c:v>
                </c:pt>
                <c:pt idx="2">
                  <c:v>0</c:v>
                </c:pt>
                <c:pt idx="3">
                  <c:v>0</c:v>
                </c:pt>
                <c:pt idx="4" formatCode="General">
                  <c:v>0</c:v>
                </c:pt>
                <c:pt idx="5">
                  <c:v>0</c:v>
                </c:pt>
                <c:pt idx="6">
                  <c:v>0</c:v>
                </c:pt>
                <c:pt idx="7">
                  <c:v>0</c:v>
                </c:pt>
                <c:pt idx="8" formatCode="General">
                  <c:v>0</c:v>
                </c:pt>
                <c:pt idx="9">
                  <c:v>0</c:v>
                </c:pt>
                <c:pt idx="10">
                  <c:v>0</c:v>
                </c:pt>
                <c:pt idx="11">
                  <c:v>0</c:v>
                </c:pt>
              </c:numCache>
            </c:numRef>
          </c:val>
          <c:extLst>
            <c:ext xmlns:c16="http://schemas.microsoft.com/office/drawing/2014/chart" uri="{C3380CC4-5D6E-409C-BE32-E72D297353CC}">
              <c16:uniqueId val="{00000001-FA07-4A63-A40D-AB078660CD91}"/>
            </c:ext>
          </c:extLst>
        </c:ser>
        <c:dLbls>
          <c:showLegendKey val="0"/>
          <c:showVal val="0"/>
          <c:showCatName val="0"/>
          <c:showSerName val="0"/>
          <c:showPercent val="0"/>
          <c:showBubbleSize val="0"/>
        </c:dLbls>
        <c:gapWidth val="182"/>
        <c:axId val="845411583"/>
        <c:axId val="845410335"/>
        <c:extLst>
          <c:ext xmlns:c15="http://schemas.microsoft.com/office/drawing/2012/chart" uri="{02D57815-91ED-43cb-92C2-25804820EDAC}">
            <c15:filteredBarSeries>
              <c15:ser>
                <c:idx val="0"/>
                <c:order val="0"/>
                <c:tx>
                  <c:strRef>
                    <c:extLst>
                      <c:ext uri="{02D57815-91ED-43cb-92C2-25804820EDAC}">
                        <c15:formulaRef>
                          <c15:sqref>'Time Location Falls Summary'!$E$95</c15:sqref>
                        </c15:formulaRef>
                      </c:ext>
                    </c:extLst>
                    <c:strCache>
                      <c:ptCount val="1"/>
                      <c:pt idx="0">
                        <c:v># by Time</c:v>
                      </c:pt>
                    </c:strCache>
                  </c:strRef>
                </c:tx>
                <c:spPr>
                  <a:solidFill>
                    <a:schemeClr val="accent1"/>
                  </a:solidFill>
                  <a:ln>
                    <a:noFill/>
                  </a:ln>
                  <a:effectLst/>
                </c:spPr>
                <c:invertIfNegative val="0"/>
                <c:cat>
                  <c:multiLvlStrRef>
                    <c:extLst>
                      <c:ext uri="{02D57815-91ED-43cb-92C2-25804820EDAC}">
                        <c15:formulaRef>
                          <c15:sqref>'Time Location Falls Summary'!$C$96:$D$107</c15:sqref>
                        </c15:formulaRef>
                      </c:ext>
                    </c:extLst>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11 pm to 12:59 am</c:v>
                        </c:pt>
                        <c:pt idx="4">
                          <c:v>1 am to 4:59 am</c:v>
                        </c:pt>
                        <c:pt idx="8">
                          <c:v>5 am to 6:59 am</c:v>
                        </c:pt>
                      </c:lvl>
                    </c:multiLvlStrCache>
                  </c:multiLvlStrRef>
                </c:cat>
                <c:val>
                  <c:numRef>
                    <c:extLst>
                      <c:ext uri="{02D57815-91ED-43cb-92C2-25804820EDAC}">
                        <c15:formulaRef>
                          <c15:sqref>'Time Location Falls Summary'!$E$96:$E$107</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FA07-4A63-A40D-AB078660CD91}"/>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'Time Location Falls Summary'!$G$95</c15:sqref>
                        </c15:formulaRef>
                      </c:ext>
                    </c:extLst>
                    <c:strCache>
                      <c:ptCount val="1"/>
                      <c:pt idx="0">
                        <c:v># by Time</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'Time Location Falls Summary'!$C$96:$D$107</c15:sqref>
                        </c15:formulaRef>
                      </c:ext>
                    </c:extLst>
                    <c:multiLvlStrCache>
                      <c:ptCount val="12"/>
                      <c:lvl>
                        <c:pt idx="0">
                          <c:v>Entire Facility</c:v>
                        </c:pt>
                        <c:pt idx="1">
                          <c:v>Unit 1</c:v>
                        </c:pt>
                        <c:pt idx="2">
                          <c:v>Unit 2</c:v>
                        </c:pt>
                        <c:pt idx="3">
                          <c:v>Unit 3</c:v>
                        </c:pt>
                        <c:pt idx="4">
                          <c:v>Entire Facility</c:v>
                        </c:pt>
                        <c:pt idx="5">
                          <c:v>Unit 1</c:v>
                        </c:pt>
                        <c:pt idx="6">
                          <c:v>Unit 2</c:v>
                        </c:pt>
                        <c:pt idx="7">
                          <c:v>Unit 3</c:v>
                        </c:pt>
                        <c:pt idx="8">
                          <c:v>Entire Facility</c:v>
                        </c:pt>
                        <c:pt idx="9">
                          <c:v>Unit 1</c:v>
                        </c:pt>
                        <c:pt idx="10">
                          <c:v>Unit 2</c:v>
                        </c:pt>
                        <c:pt idx="11">
                          <c:v>Unit 3</c:v>
                        </c:pt>
                      </c:lvl>
                      <c:lvl>
                        <c:pt idx="0">
                          <c:v>11 pm to 12:59 am</c:v>
                        </c:pt>
                        <c:pt idx="4">
                          <c:v>1 am to 4:59 am</c:v>
                        </c:pt>
                        <c:pt idx="8">
                          <c:v>5 am to 6:59 am</c:v>
                        </c:pt>
                      </c:lvl>
                    </c:multiLvlStrCache>
                  </c:multiLvlStrRef>
                </c:cat>
                <c:val>
                  <c:numRef>
                    <c:extLst xmlns:c15="http://schemas.microsoft.com/office/drawing/2012/chart">
                      <c:ext xmlns:c15="http://schemas.microsoft.com/office/drawing/2012/chart" uri="{02D57815-91ED-43cb-92C2-25804820EDAC}">
                        <c15:formulaRef>
                          <c15:sqref>'Time Location Falls Summary'!$G$96:$G$107</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FA07-4A63-A40D-AB078660CD91}"/>
                  </c:ext>
                </c:extLst>
              </c15:ser>
            </c15:filteredBarSeries>
          </c:ext>
        </c:extLst>
      </c:barChart>
      <c:catAx>
        <c:axId val="845411583"/>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845410335"/>
        <c:crosses val="autoZero"/>
        <c:auto val="1"/>
        <c:lblAlgn val="ctr"/>
        <c:lblOffset val="100"/>
        <c:noMultiLvlLbl val="0"/>
      </c:catAx>
      <c:valAx>
        <c:axId val="845410335"/>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8454115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Falls by Location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manualLayout>
          <c:layoutTarget val="inner"/>
          <c:xMode val="edge"/>
          <c:yMode val="edge"/>
          <c:x val="0.22278795919775704"/>
          <c:y val="6.1808185216878121E-2"/>
          <c:w val="0.73908335883373633"/>
          <c:h val="0.89721202866783245"/>
        </c:manualLayout>
      </c:layout>
      <c:barChart>
        <c:barDir val="bar"/>
        <c:grouping val="clustered"/>
        <c:varyColors val="0"/>
        <c:ser>
          <c:idx val="1"/>
          <c:order val="1"/>
          <c:tx>
            <c:strRef>
              <c:f>'Time Location Falls Summary'!$F$111:$F$112</c:f>
              <c:strCache>
                <c:ptCount val="2"/>
                <c:pt idx="0">
                  <c:v>June-26</c:v>
                </c:pt>
                <c:pt idx="1">
                  <c:v>%Falls by Location</c:v>
                </c:pt>
              </c:strCache>
            </c:strRef>
          </c:tx>
          <c:spPr>
            <a:solidFill>
              <a:srgbClr val="D663A6"/>
            </a:solidFill>
            <a:ln>
              <a:solidFill>
                <a:srgbClr val="D663A6"/>
              </a:solidFill>
            </a:ln>
            <a:effectLst/>
          </c:spPr>
          <c:invertIfNegative val="0"/>
          <c:cat>
            <c:multiLvlStrRef>
              <c:f>(calc!$C$181:$D$182,calc!$C$185:$D$186,calc!$C$189:$D$190,calc!$C$193:$D$194,calc!$C$197:$D$198,calc!$C$201:$D$202,calc!$C$205:$D$206,calc!$C$209:$D$210,calc!$C$213:$D$214,calc!$C$217:$D$218,calc!$C$221:$D$222)</c:f>
              <c:multiLvlStrCache>
                <c:ptCount val="22"/>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pt idx="16">
                    <c:v>Entire Facility</c:v>
                  </c:pt>
                  <c:pt idx="17">
                    <c:v>Unit 1</c:v>
                  </c:pt>
                  <c:pt idx="18">
                    <c:v>Entire Facility</c:v>
                  </c:pt>
                  <c:pt idx="19">
                    <c:v>Unit 1</c:v>
                  </c:pt>
                  <c:pt idx="20">
                    <c:v>Entire Facility</c:v>
                  </c:pt>
                  <c:pt idx="21">
                    <c:v>Unit 1</c:v>
                  </c:pt>
                </c:lvl>
                <c:lvl>
                  <c:pt idx="0">
                    <c:v>In Room</c:v>
                  </c:pt>
                  <c:pt idx="2">
                    <c:v>Bathroom</c:v>
                  </c:pt>
                  <c:pt idx="4">
                    <c:v>Hallway</c:v>
                  </c:pt>
                  <c:pt idx="6">
                    <c:v>Dining Room</c:v>
                  </c:pt>
                  <c:pt idx="8">
                    <c:v>Activities</c:v>
                  </c:pt>
                  <c:pt idx="10">
                    <c:v>Therapy</c:v>
                  </c:pt>
                  <c:pt idx="12">
                    <c:v>Beauty/Barber</c:v>
                  </c:pt>
                  <c:pt idx="14">
                    <c:v>Shower/Tub</c:v>
                  </c:pt>
                  <c:pt idx="16">
                    <c:v>Nursing Station</c:v>
                  </c:pt>
                  <c:pt idx="18">
                    <c:v>Out of Facility</c:v>
                  </c:pt>
                  <c:pt idx="20">
                    <c:v>Other</c:v>
                  </c:pt>
                </c:lvl>
              </c:multiLvlStrCache>
              <c:extLst/>
            </c:multiLvlStrRef>
          </c:cat>
          <c:val>
            <c:numRef>
              <c:f>(calc!$F$181:$F$182,calc!$F$185:$F$186,calc!$F$189:$F$190,calc!$F$193:$F$194,calc!$F$197:$F$198,calc!$F$201:$F$202,calc!$F$205:$F$206,calc!$F$209:$F$210,calc!$F$213:$F$214,calc!$F$217:$F$218,calc!$F$221:$F$222)</c:f>
              <c:numCache>
                <c:formatCode>0%</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extLst/>
            </c:numRef>
          </c:val>
          <c:extLst>
            <c:ext xmlns:c16="http://schemas.microsoft.com/office/drawing/2014/chart" uri="{C3380CC4-5D6E-409C-BE32-E72D297353CC}">
              <c16:uniqueId val="{00000000-A047-4F43-A692-2099CDE83B6B}"/>
            </c:ext>
          </c:extLst>
        </c:ser>
        <c:ser>
          <c:idx val="3"/>
          <c:order val="3"/>
          <c:tx>
            <c:strRef>
              <c:f>'Time Location Falls Summary'!$H$111:$H$112</c:f>
              <c:strCache>
                <c:ptCount val="2"/>
                <c:pt idx="0">
                  <c:v>YTD</c:v>
                </c:pt>
                <c:pt idx="1">
                  <c:v>%Falls by Location</c:v>
                </c:pt>
              </c:strCache>
            </c:strRef>
          </c:tx>
          <c:spPr>
            <a:solidFill>
              <a:srgbClr val="006DB7"/>
            </a:solidFill>
            <a:ln>
              <a:solidFill>
                <a:srgbClr val="006DB7"/>
              </a:solidFill>
            </a:ln>
            <a:effectLst/>
          </c:spPr>
          <c:invertIfNegative val="0"/>
          <c:cat>
            <c:multiLvlStrRef>
              <c:f>(calc!$C$181:$D$182,calc!$C$185:$D$186,calc!$C$189:$D$190,calc!$C$193:$D$194,calc!$C$197:$D$198,calc!$C$201:$D$202,calc!$C$205:$D$206,calc!$C$209:$D$210,calc!$C$213:$D$214,calc!$C$217:$D$218,calc!$C$221:$D$222)</c:f>
              <c:multiLvlStrCache>
                <c:ptCount val="22"/>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pt idx="16">
                    <c:v>Entire Facility</c:v>
                  </c:pt>
                  <c:pt idx="17">
                    <c:v>Unit 1</c:v>
                  </c:pt>
                  <c:pt idx="18">
                    <c:v>Entire Facility</c:v>
                  </c:pt>
                  <c:pt idx="19">
                    <c:v>Unit 1</c:v>
                  </c:pt>
                  <c:pt idx="20">
                    <c:v>Entire Facility</c:v>
                  </c:pt>
                  <c:pt idx="21">
                    <c:v>Unit 1</c:v>
                  </c:pt>
                </c:lvl>
                <c:lvl>
                  <c:pt idx="0">
                    <c:v>In Room</c:v>
                  </c:pt>
                  <c:pt idx="2">
                    <c:v>Bathroom</c:v>
                  </c:pt>
                  <c:pt idx="4">
                    <c:v>Hallway</c:v>
                  </c:pt>
                  <c:pt idx="6">
                    <c:v>Dining Room</c:v>
                  </c:pt>
                  <c:pt idx="8">
                    <c:v>Activities</c:v>
                  </c:pt>
                  <c:pt idx="10">
                    <c:v>Therapy</c:v>
                  </c:pt>
                  <c:pt idx="12">
                    <c:v>Beauty/Barber</c:v>
                  </c:pt>
                  <c:pt idx="14">
                    <c:v>Shower/Tub</c:v>
                  </c:pt>
                  <c:pt idx="16">
                    <c:v>Nursing Station</c:v>
                  </c:pt>
                  <c:pt idx="18">
                    <c:v>Out of Facility</c:v>
                  </c:pt>
                  <c:pt idx="20">
                    <c:v>Other</c:v>
                  </c:pt>
                </c:lvl>
              </c:multiLvlStrCache>
              <c:extLst/>
            </c:multiLvlStrRef>
          </c:cat>
          <c:val>
            <c:numRef>
              <c:f>(calc!$H$181:$H$182,calc!$H$185:$H$186,calc!$H$189:$H$190,calc!$H$193:$H$194,calc!$H$197:$H$198,calc!$H$201:$H$202,calc!$H$205:$H$206,calc!$H$209:$H$210,calc!$H$213:$H$214,calc!$H$217:$H$218,calc!$H$221:$H$222)</c:f>
              <c:numCache>
                <c:formatCode>0%</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extLst/>
            </c:numRef>
          </c:val>
          <c:extLst>
            <c:ext xmlns:c16="http://schemas.microsoft.com/office/drawing/2014/chart" uri="{C3380CC4-5D6E-409C-BE32-E72D297353CC}">
              <c16:uniqueId val="{00000001-A047-4F43-A692-2099CDE83B6B}"/>
            </c:ext>
          </c:extLst>
        </c:ser>
        <c:dLbls>
          <c:showLegendKey val="0"/>
          <c:showVal val="0"/>
          <c:showCatName val="0"/>
          <c:showSerName val="0"/>
          <c:showPercent val="0"/>
          <c:showBubbleSize val="0"/>
        </c:dLbls>
        <c:gapWidth val="219"/>
        <c:axId val="733288031"/>
        <c:axId val="733291775"/>
        <c:extLst>
          <c:ext xmlns:c15="http://schemas.microsoft.com/office/drawing/2012/chart" uri="{02D57815-91ED-43cb-92C2-25804820EDAC}">
            <c15:filteredBarSeries>
              <c15:ser>
                <c:idx val="0"/>
                <c:order val="0"/>
                <c:tx>
                  <c:strRef>
                    <c:extLst>
                      <c:ext uri="{02D57815-91ED-43cb-92C2-25804820EDAC}">
                        <c15:formulaRef>
                          <c15:sqref>'Time Location Falls Summary'!$E$111:$E$112</c15:sqref>
                        </c15:formulaRef>
                      </c:ext>
                    </c:extLst>
                    <c:strCache>
                      <c:ptCount val="2"/>
                      <c:pt idx="0">
                        <c:v>June-26</c:v>
                      </c:pt>
                      <c:pt idx="1">
                        <c:v>#Falls by Location</c:v>
                      </c:pt>
                    </c:strCache>
                  </c:strRef>
                </c:tx>
                <c:spPr>
                  <a:solidFill>
                    <a:schemeClr val="accent1"/>
                  </a:solidFill>
                  <a:ln>
                    <a:noFill/>
                  </a:ln>
                  <a:effectLst/>
                </c:spPr>
                <c:invertIfNegative val="0"/>
                <c:cat>
                  <c:multiLvlStrRef>
                    <c:extLst>
                      <c:ext uri="{02D57815-91ED-43cb-92C2-25804820EDAC}">
                        <c15:formulaRef>
                          <c15:sqref>(calc!$C$181:$D$182,calc!$C$185:$D$186,calc!$C$189:$D$190,calc!$C$193:$D$194,calc!$C$197:$D$198,calc!$C$201:$D$202,calc!$C$205:$D$206,calc!$C$209:$D$210,calc!$C$213:$D$214,calc!$C$217:$D$218,calc!$C$221:$D$222)</c15:sqref>
                        </c15:formulaRef>
                      </c:ext>
                    </c:extLst>
                    <c:multiLvlStrCache>
                      <c:ptCount val="22"/>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pt idx="16">
                          <c:v>Entire Facility</c:v>
                        </c:pt>
                        <c:pt idx="17">
                          <c:v>Unit 1</c:v>
                        </c:pt>
                        <c:pt idx="18">
                          <c:v>Entire Facility</c:v>
                        </c:pt>
                        <c:pt idx="19">
                          <c:v>Unit 1</c:v>
                        </c:pt>
                        <c:pt idx="20">
                          <c:v>Entire Facility</c:v>
                        </c:pt>
                        <c:pt idx="21">
                          <c:v>Unit 1</c:v>
                        </c:pt>
                      </c:lvl>
                      <c:lvl>
                        <c:pt idx="0">
                          <c:v>In Room</c:v>
                        </c:pt>
                        <c:pt idx="2">
                          <c:v>Bathroom</c:v>
                        </c:pt>
                        <c:pt idx="4">
                          <c:v>Hallway</c:v>
                        </c:pt>
                        <c:pt idx="6">
                          <c:v>Dining Room</c:v>
                        </c:pt>
                        <c:pt idx="8">
                          <c:v>Activities</c:v>
                        </c:pt>
                        <c:pt idx="10">
                          <c:v>Therapy</c:v>
                        </c:pt>
                        <c:pt idx="12">
                          <c:v>Beauty/Barber</c:v>
                        </c:pt>
                        <c:pt idx="14">
                          <c:v>Shower/Tub</c:v>
                        </c:pt>
                        <c:pt idx="16">
                          <c:v>Nursing Station</c:v>
                        </c:pt>
                        <c:pt idx="18">
                          <c:v>Out of Facility</c:v>
                        </c:pt>
                        <c:pt idx="20">
                          <c:v>Other</c:v>
                        </c:pt>
                      </c:lvl>
                    </c:multiLvlStrCache>
                  </c:multiLvlStrRef>
                </c:cat>
                <c:val>
                  <c:numRef>
                    <c:extLst>
                      <c:ext uri="{02D57815-91ED-43cb-92C2-25804820EDAC}">
                        <c15:formulaRef>
                          <c15:sqref>('Time Location Falls Summary'!$E$113:$E$114,'Time Location Falls Summary'!$E$117:$E$118,'Time Location Falls Summary'!$E$121:$E$122,'Time Location Falls Summary'!$E$125:$E$126,'Time Location Falls Summary'!$E$129:$E$130,'Time Location Falls Summary'!$E$1</c15:sqref>
                        </c15:formulaRef>
                      </c:ext>
                    </c:extLst>
                    <c:numCache>
                      <c:formatCode>General</c:formatCode>
                      <c:ptCount val="12"/>
                      <c:pt idx="0">
                        <c:v>1</c:v>
                      </c:pt>
                      <c:pt idx="1">
                        <c:v>1</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A047-4F43-A692-2099CDE83B6B}"/>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'Time Location Falls Summary'!$G$111:$G$112</c15:sqref>
                        </c15:formulaRef>
                      </c:ext>
                    </c:extLst>
                    <c:strCache>
                      <c:ptCount val="2"/>
                      <c:pt idx="0">
                        <c:v>YTD</c:v>
                      </c:pt>
                      <c:pt idx="1">
                        <c:v>#Falls by Location</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(calc!$C$181:$D$182,calc!$C$185:$D$186,calc!$C$189:$D$190,calc!$C$193:$D$194,calc!$C$197:$D$198,calc!$C$201:$D$202,calc!$C$205:$D$206,calc!$C$209:$D$210,calc!$C$213:$D$214,calc!$C$217:$D$218,calc!$C$221:$D$222)</c15:sqref>
                        </c15:formulaRef>
                      </c:ext>
                    </c:extLst>
                    <c:multiLvlStrCache>
                      <c:ptCount val="22"/>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pt idx="16">
                          <c:v>Entire Facility</c:v>
                        </c:pt>
                        <c:pt idx="17">
                          <c:v>Unit 1</c:v>
                        </c:pt>
                        <c:pt idx="18">
                          <c:v>Entire Facility</c:v>
                        </c:pt>
                        <c:pt idx="19">
                          <c:v>Unit 1</c:v>
                        </c:pt>
                        <c:pt idx="20">
                          <c:v>Entire Facility</c:v>
                        </c:pt>
                        <c:pt idx="21">
                          <c:v>Unit 1</c:v>
                        </c:pt>
                      </c:lvl>
                      <c:lvl>
                        <c:pt idx="0">
                          <c:v>In Room</c:v>
                        </c:pt>
                        <c:pt idx="2">
                          <c:v>Bathroom</c:v>
                        </c:pt>
                        <c:pt idx="4">
                          <c:v>Hallway</c:v>
                        </c:pt>
                        <c:pt idx="6">
                          <c:v>Dining Room</c:v>
                        </c:pt>
                        <c:pt idx="8">
                          <c:v>Activities</c:v>
                        </c:pt>
                        <c:pt idx="10">
                          <c:v>Therapy</c:v>
                        </c:pt>
                        <c:pt idx="12">
                          <c:v>Beauty/Barber</c:v>
                        </c:pt>
                        <c:pt idx="14">
                          <c:v>Shower/Tub</c:v>
                        </c:pt>
                        <c:pt idx="16">
                          <c:v>Nursing Station</c:v>
                        </c:pt>
                        <c:pt idx="18">
                          <c:v>Out of Facility</c:v>
                        </c:pt>
                        <c:pt idx="20">
                          <c:v>Other</c:v>
                        </c:pt>
                      </c:lvl>
                    </c:multiLvlStrCache>
                  </c:multiLvlStrRef>
                </c:cat>
                <c:val>
                  <c:numRef>
                    <c:extLst xmlns:c15="http://schemas.microsoft.com/office/drawing/2012/chart">
                      <c:ext xmlns:c15="http://schemas.microsoft.com/office/drawing/2012/chart" uri="{02D57815-91ED-43cb-92C2-25804820EDAC}">
                        <c15:formulaRef>
                          <c15:sqref>('Time Location Falls Summary'!$G$113:$G$114,'Time Location Falls Summary'!$G$117:$G$118,'Time Location Falls Summary'!$G$121:$G$122,'Time Location Falls Summary'!$G$125:$G$126,'Time Location Falls Summary'!$G$129:$G$130,'Time Location Falls Summary'!$G$1</c15:sqref>
                        </c15:formulaRef>
                      </c:ext>
                    </c:extLst>
                    <c:numCache>
                      <c:formatCode>General</c:formatCode>
                      <c:ptCount val="12"/>
                      <c:pt idx="0">
                        <c:v>1</c:v>
                      </c:pt>
                      <c:pt idx="1">
                        <c:v>1</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A047-4F43-A692-2099CDE83B6B}"/>
                  </c:ext>
                </c:extLst>
              </c15:ser>
            </c15:filteredBarSeries>
          </c:ext>
        </c:extLst>
      </c:barChart>
      <c:catAx>
        <c:axId val="73328803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733291775"/>
        <c:crosses val="autoZero"/>
        <c:auto val="1"/>
        <c:lblAlgn val="ctr"/>
        <c:lblOffset val="100"/>
        <c:noMultiLvlLbl val="0"/>
      </c:catAx>
      <c:valAx>
        <c:axId val="733291775"/>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733288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Falls by Location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col"/>
        <c:grouping val="clustered"/>
        <c:varyColors val="0"/>
        <c:ser>
          <c:idx val="0"/>
          <c:order val="0"/>
          <c:tx>
            <c:strRef>
              <c:f>'Time Location Falls Summary'!$K$114</c:f>
              <c:strCache>
                <c:ptCount val="1"/>
                <c:pt idx="0">
                  <c:v>June-26</c:v>
                </c:pt>
              </c:strCache>
            </c:strRef>
          </c:tx>
          <c:spPr>
            <a:solidFill>
              <a:srgbClr val="D663A6"/>
            </a:solidFill>
            <a:ln>
              <a:solidFill>
                <a:srgbClr val="D663A6"/>
              </a:solidFill>
            </a:ln>
            <a:effectLst/>
          </c:spPr>
          <c:invertIfNegative val="0"/>
          <c:cat>
            <c:strRef>
              <c:f>'Time Location Falls Summary'!$J$115:$J$118</c:f>
              <c:strCache>
                <c:ptCount val="4"/>
                <c:pt idx="0">
                  <c:v>Unit 1</c:v>
                </c:pt>
                <c:pt idx="1">
                  <c:v>Unit 2</c:v>
                </c:pt>
                <c:pt idx="2">
                  <c:v>Unit 3</c:v>
                </c:pt>
                <c:pt idx="3">
                  <c:v>Entire Facility</c:v>
                </c:pt>
              </c:strCache>
            </c:strRef>
          </c:cat>
          <c:val>
            <c:numRef>
              <c:f>'Time Location Falls Summary'!$K$115:$K$118</c:f>
              <c:numCache>
                <c:formatCode>0.0%</c:formatCode>
                <c:ptCount val="4"/>
                <c:pt idx="0">
                  <c:v>0</c:v>
                </c:pt>
                <c:pt idx="1">
                  <c:v>0</c:v>
                </c:pt>
                <c:pt idx="2">
                  <c:v>0</c:v>
                </c:pt>
                <c:pt idx="3">
                  <c:v>0</c:v>
                </c:pt>
              </c:numCache>
            </c:numRef>
          </c:val>
          <c:extLst>
            <c:ext xmlns:c16="http://schemas.microsoft.com/office/drawing/2014/chart" uri="{C3380CC4-5D6E-409C-BE32-E72D297353CC}">
              <c16:uniqueId val="{00000000-E86A-4C10-84D9-7807983C2DB8}"/>
            </c:ext>
          </c:extLst>
        </c:ser>
        <c:ser>
          <c:idx val="1"/>
          <c:order val="1"/>
          <c:tx>
            <c:strRef>
              <c:f>'Time Location Falls Summary'!$L$114</c:f>
              <c:strCache>
                <c:ptCount val="1"/>
                <c:pt idx="0">
                  <c:v>YTD</c:v>
                </c:pt>
              </c:strCache>
            </c:strRef>
          </c:tx>
          <c:spPr>
            <a:solidFill>
              <a:srgbClr val="006DB7"/>
            </a:solidFill>
            <a:ln>
              <a:solidFill>
                <a:srgbClr val="006DB7"/>
              </a:solidFill>
            </a:ln>
            <a:effectLst/>
          </c:spPr>
          <c:invertIfNegative val="0"/>
          <c:cat>
            <c:strRef>
              <c:f>'Time Location Falls Summary'!$J$115:$J$118</c:f>
              <c:strCache>
                <c:ptCount val="4"/>
                <c:pt idx="0">
                  <c:v>Unit 1</c:v>
                </c:pt>
                <c:pt idx="1">
                  <c:v>Unit 2</c:v>
                </c:pt>
                <c:pt idx="2">
                  <c:v>Unit 3</c:v>
                </c:pt>
                <c:pt idx="3">
                  <c:v>Entire Facility</c:v>
                </c:pt>
              </c:strCache>
            </c:strRef>
          </c:cat>
          <c:val>
            <c:numRef>
              <c:f>'Time Location Falls Summary'!$L$115:$L$118</c:f>
              <c:numCache>
                <c:formatCode>0.0%</c:formatCode>
                <c:ptCount val="4"/>
                <c:pt idx="0">
                  <c:v>0</c:v>
                </c:pt>
                <c:pt idx="1">
                  <c:v>0</c:v>
                </c:pt>
                <c:pt idx="2">
                  <c:v>0</c:v>
                </c:pt>
                <c:pt idx="3">
                  <c:v>0</c:v>
                </c:pt>
              </c:numCache>
            </c:numRef>
          </c:val>
          <c:extLst>
            <c:ext xmlns:c16="http://schemas.microsoft.com/office/drawing/2014/chart" uri="{C3380CC4-5D6E-409C-BE32-E72D297353CC}">
              <c16:uniqueId val="{00000001-E86A-4C10-84D9-7807983C2DB8}"/>
            </c:ext>
          </c:extLst>
        </c:ser>
        <c:dLbls>
          <c:showLegendKey val="0"/>
          <c:showVal val="0"/>
          <c:showCatName val="0"/>
          <c:showSerName val="0"/>
          <c:showPercent val="0"/>
          <c:showBubbleSize val="0"/>
        </c:dLbls>
        <c:gapWidth val="150"/>
        <c:axId val="1975978591"/>
        <c:axId val="1975979839"/>
      </c:barChart>
      <c:catAx>
        <c:axId val="19759785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1975979839"/>
        <c:crosses val="autoZero"/>
        <c:auto val="1"/>
        <c:lblAlgn val="ctr"/>
        <c:lblOffset val="100"/>
        <c:noMultiLvlLbl val="0"/>
      </c:catAx>
      <c:valAx>
        <c:axId val="197597983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19759785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%Falls w/ Injury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bar"/>
        <c:grouping val="clustered"/>
        <c:varyColors val="0"/>
        <c:ser>
          <c:idx val="1"/>
          <c:order val="1"/>
          <c:tx>
            <c:strRef>
              <c:f>'Falls Injury Summary'!$F$11:$F$12</c:f>
              <c:strCache>
                <c:ptCount val="2"/>
                <c:pt idx="0">
                  <c:v>June-26</c:v>
                </c:pt>
                <c:pt idx="1">
                  <c:v>%Falls by Injury Type</c:v>
                </c:pt>
              </c:strCache>
            </c:strRef>
          </c:tx>
          <c:spPr>
            <a:solidFill>
              <a:srgbClr val="D663A6"/>
            </a:solidFill>
            <a:ln>
              <a:solidFill>
                <a:srgbClr val="D663A6"/>
              </a:solidFill>
            </a:ln>
            <a:effectLst/>
          </c:spPr>
          <c:invertIfNegative val="0"/>
          <c:cat>
            <c:multiLvlStrRef>
              <c:extLst>
                <c:ext xmlns:c15="http://schemas.microsoft.com/office/drawing/2012/chart" uri="{02D57815-91ED-43cb-92C2-25804820EDAC}">
                  <c15:fullRef>
                    <c15:sqref>calc!$C$261:$D$288</c15:sqref>
                  </c15:fullRef>
                </c:ext>
              </c:extLst>
              <c:f>(calc!$C$261:$D$262,calc!$C$265:$D$266,calc!$C$269:$D$270,calc!$C$273:$D$274,calc!$C$277:$D$278,calc!$C$281:$D$282,calc!$C$285:$D$286)</c:f>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Skin Tear</c:v>
                  </c:pt>
                  <c:pt idx="2">
                    <c:v>Confusion</c:v>
                  </c:pt>
                  <c:pt idx="4">
                    <c:v>Abrasion</c:v>
                  </c:pt>
                  <c:pt idx="6">
                    <c:v>Bone Fracture</c:v>
                  </c:pt>
                  <c:pt idx="8">
                    <c:v>Joint Dislocation</c:v>
                  </c:pt>
                  <c:pt idx="10">
                    <c:v>Closed Head Injury w/ Altered Consciousness</c:v>
                  </c:pt>
                  <c:pt idx="12">
                    <c:v>Subdural Hematoma</c:v>
                  </c:pt>
                </c:lvl>
              </c:multiLvlStrCache>
            </c:multiLvlStrRef>
          </c:cat>
          <c:val>
            <c:numRef>
              <c:extLst>
                <c:ext xmlns:c15="http://schemas.microsoft.com/office/drawing/2012/chart" uri="{02D57815-91ED-43cb-92C2-25804820EDAC}">
                  <c15:fullRef>
                    <c15:sqref>calc!$F$261:$F$288</c15:sqref>
                  </c15:fullRef>
                </c:ext>
              </c:extLst>
              <c:f>(calc!$F$261:$F$262,calc!$F$265:$F$266,calc!$F$269:$F$270,calc!$F$273:$F$274,calc!$F$277:$F$278,calc!$F$281:$F$282,calc!$F$285:$F$286)</c:f>
              <c:numCache>
                <c:formatCode>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0-5980-4413-B7DA-C92C99EFB6F5}"/>
            </c:ext>
          </c:extLst>
        </c:ser>
        <c:ser>
          <c:idx val="3"/>
          <c:order val="3"/>
          <c:tx>
            <c:strRef>
              <c:f>'Falls Injury Summary'!$H$11:$H$12</c:f>
              <c:strCache>
                <c:ptCount val="2"/>
                <c:pt idx="0">
                  <c:v>YTD</c:v>
                </c:pt>
                <c:pt idx="1">
                  <c:v>%Falls by Injury Type</c:v>
                </c:pt>
              </c:strCache>
            </c:strRef>
          </c:tx>
          <c:spPr>
            <a:solidFill>
              <a:srgbClr val="006DB7"/>
            </a:solidFill>
            <a:ln>
              <a:solidFill>
                <a:srgbClr val="006DB7"/>
              </a:solidFill>
            </a:ln>
            <a:effectLst/>
          </c:spPr>
          <c:invertIfNegative val="0"/>
          <c:cat>
            <c:multiLvlStrRef>
              <c:extLst>
                <c:ext xmlns:c15="http://schemas.microsoft.com/office/drawing/2012/chart" uri="{02D57815-91ED-43cb-92C2-25804820EDAC}">
                  <c15:fullRef>
                    <c15:sqref>calc!$C$261:$D$288</c15:sqref>
                  </c15:fullRef>
                </c:ext>
              </c:extLst>
              <c:f>(calc!$C$261:$D$262,calc!$C$265:$D$266,calc!$C$269:$D$270,calc!$C$273:$D$274,calc!$C$277:$D$278,calc!$C$281:$D$282,calc!$C$285:$D$286)</c:f>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Skin Tear</c:v>
                  </c:pt>
                  <c:pt idx="2">
                    <c:v>Confusion</c:v>
                  </c:pt>
                  <c:pt idx="4">
                    <c:v>Abrasion</c:v>
                  </c:pt>
                  <c:pt idx="6">
                    <c:v>Bone Fracture</c:v>
                  </c:pt>
                  <c:pt idx="8">
                    <c:v>Joint Dislocation</c:v>
                  </c:pt>
                  <c:pt idx="10">
                    <c:v>Closed Head Injury w/ Altered Consciousness</c:v>
                  </c:pt>
                  <c:pt idx="12">
                    <c:v>Subdural Hematoma</c:v>
                  </c:pt>
                </c:lvl>
              </c:multiLvlStrCache>
            </c:multiLvlStrRef>
          </c:cat>
          <c:val>
            <c:numRef>
              <c:extLst>
                <c:ext xmlns:c15="http://schemas.microsoft.com/office/drawing/2012/chart" uri="{02D57815-91ED-43cb-92C2-25804820EDAC}">
                  <c15:fullRef>
                    <c15:sqref>calc!$H$261:$H$288</c15:sqref>
                  </c15:fullRef>
                </c:ext>
              </c:extLst>
              <c:f>(calc!$H$261:$H$262,calc!$H$265:$H$266,calc!$H$269:$H$270,calc!$H$273:$H$274,calc!$H$277:$H$278,calc!$H$281:$H$282,calc!$H$285:$H$286)</c:f>
              <c:numCache>
                <c:formatCode>0%</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1-5980-4413-B7DA-C92C99EFB6F5}"/>
            </c:ext>
          </c:extLst>
        </c:ser>
        <c:dLbls>
          <c:showLegendKey val="0"/>
          <c:showVal val="0"/>
          <c:showCatName val="0"/>
          <c:showSerName val="0"/>
          <c:showPercent val="0"/>
          <c:showBubbleSize val="0"/>
        </c:dLbls>
        <c:gapWidth val="182"/>
        <c:axId val="692465824"/>
        <c:axId val="692466240"/>
        <c:extLst>
          <c:ext xmlns:c15="http://schemas.microsoft.com/office/drawing/2012/chart" uri="{02D57815-91ED-43cb-92C2-25804820EDAC}">
            <c15:filteredBarSeries>
              <c15:ser>
                <c:idx val="0"/>
                <c:order val="0"/>
                <c:tx>
                  <c:strRef>
                    <c:extLst>
                      <c:ext uri="{02D57815-91ED-43cb-92C2-25804820EDAC}">
                        <c15:formulaRef>
                          <c15:sqref>'Falls Injury Summary'!$E$11:$E$12</c15:sqref>
                        </c15:formulaRef>
                      </c:ext>
                    </c:extLst>
                    <c:strCache>
                      <c:ptCount val="2"/>
                      <c:pt idx="0">
                        <c:v>June-26</c:v>
                      </c:pt>
                      <c:pt idx="1">
                        <c:v>#Falls by Injury Type</c:v>
                      </c:pt>
                    </c:strCache>
                  </c:strRef>
                </c:tx>
                <c:spPr>
                  <a:solidFill>
                    <a:schemeClr val="accent1"/>
                  </a:solidFill>
                  <a:ln>
                    <a:noFill/>
                  </a:ln>
                  <a:effectLst/>
                </c:spPr>
                <c:invertIfNegative val="0"/>
                <c:cat>
                  <c:multiLvlStrRef>
                    <c:extLst>
                      <c:ext uri="{02D57815-91ED-43cb-92C2-25804820EDAC}">
                        <c15:fullRef>
                          <c15:sqref>calc!$C$261:$D$288</c15:sqref>
                        </c15:fullRef>
                        <c15:formulaRef>
                          <c15:sqref>(calc!$C$261:$D$262,calc!$C$265:$D$266,calc!$C$269:$D$270,calc!$C$273:$D$274,calc!$C$277:$D$278,calc!$C$281:$D$282,calc!$C$285:$D$286)</c15:sqref>
                        </c15:formulaRef>
                      </c:ext>
                    </c:extLst>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Skin Tear</c:v>
                        </c:pt>
                        <c:pt idx="2">
                          <c:v>Confusion</c:v>
                        </c:pt>
                        <c:pt idx="4">
                          <c:v>Abrasion</c:v>
                        </c:pt>
                        <c:pt idx="6">
                          <c:v>Bone Fracture</c:v>
                        </c:pt>
                        <c:pt idx="8">
                          <c:v>Joint Dislocation</c:v>
                        </c:pt>
                        <c:pt idx="10">
                          <c:v>Closed Head Injury w/ Altered Consciousness</c:v>
                        </c:pt>
                        <c:pt idx="12">
                          <c:v>Subdural Hematoma</c:v>
                        </c:pt>
                      </c:lvl>
                    </c:multiLvlStrCache>
                  </c:multiLvlStrRef>
                </c:cat>
                <c:val>
                  <c:numRef>
                    <c:extLst>
                      <c:ext uri="{02D57815-91ED-43cb-92C2-25804820EDAC}">
                        <c15:fullRef>
                          <c15:sqref>'Falls Injury Summary'!$E$13:$E$40</c15:sqref>
                        </c15:fullRef>
                        <c15:formulaRef>
                          <c15:sqref>('Falls Injury Summary'!$E$13:$E$14,'Falls Injury Summary'!$E$17:$E$18,'Falls Injury Summary'!$E$21:$E$22,'Falls Injury Summary'!$E$25:$E$26,'Falls Injury Summary'!$E$29:$E$30,'Falls Injury Summary'!$E$33:$E$34,'Falls Injury Summary'!$E$37:$E$38)</c15:sqref>
                        </c15:formulaRef>
                      </c:ext>
                    </c:extLst>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c:ext xmlns:c16="http://schemas.microsoft.com/office/drawing/2014/chart" uri="{C3380CC4-5D6E-409C-BE32-E72D297353CC}">
                    <c16:uniqueId val="{00000002-5980-4413-B7DA-C92C99EFB6F5}"/>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'Falls Injury Summary'!$G$11:$G$12</c15:sqref>
                        </c15:formulaRef>
                      </c:ext>
                    </c:extLst>
                    <c:strCache>
                      <c:ptCount val="2"/>
                      <c:pt idx="0">
                        <c:v>YTD</c:v>
                      </c:pt>
                      <c:pt idx="1">
                        <c:v>#Falls by Injury Type</c:v>
                      </c:pt>
                    </c:strCache>
                  </c:strRef>
                </c:tx>
                <c:spPr>
                  <a:solidFill>
                    <a:schemeClr val="accent3"/>
                  </a:solidFill>
                  <a:ln>
                    <a:noFill/>
                  </a:ln>
                  <a:effectLst/>
                </c:spPr>
                <c:invertIfNegative val="0"/>
                <c:cat>
                  <c:multiLvlStrRef>
                    <c:extLst>
                      <c:ext xmlns:c15="http://schemas.microsoft.com/office/drawing/2012/chart" uri="{02D57815-91ED-43cb-92C2-25804820EDAC}">
                        <c15:fullRef>
                          <c15:sqref>calc!$C$261:$D$288</c15:sqref>
                        </c15:fullRef>
                        <c15:formulaRef>
                          <c15:sqref>(calc!$C$261:$D$262,calc!$C$265:$D$266,calc!$C$269:$D$270,calc!$C$273:$D$274,calc!$C$277:$D$278,calc!$C$281:$D$282,calc!$C$285:$D$286)</c15:sqref>
                        </c15:formulaRef>
                      </c:ext>
                    </c:extLst>
                    <c:multiLvlStrCache>
                      <c:ptCount val="14"/>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lvl>
                      <c:lvl>
                        <c:pt idx="0">
                          <c:v>Skin Tear</c:v>
                        </c:pt>
                        <c:pt idx="2">
                          <c:v>Confusion</c:v>
                        </c:pt>
                        <c:pt idx="4">
                          <c:v>Abrasion</c:v>
                        </c:pt>
                        <c:pt idx="6">
                          <c:v>Bone Fracture</c:v>
                        </c:pt>
                        <c:pt idx="8">
                          <c:v>Joint Dislocation</c:v>
                        </c:pt>
                        <c:pt idx="10">
                          <c:v>Closed Head Injury w/ Altered Consciousness</c:v>
                        </c:pt>
                        <c:pt idx="12">
                          <c:v>Subdural Hematoma</c:v>
                        </c:pt>
                      </c:lvl>
                    </c:multiLvlStrCache>
                  </c:multiLvlStrRef>
                </c:cat>
                <c:val>
                  <c:numRef>
                    <c:extLst>
                      <c:ext xmlns:c15="http://schemas.microsoft.com/office/drawing/2012/chart" uri="{02D57815-91ED-43cb-92C2-25804820EDAC}">
                        <c15:fullRef>
                          <c15:sqref>'Falls Injury Summary'!$G$13:$G$40</c15:sqref>
                        </c15:fullRef>
                        <c15:formulaRef>
                          <c15:sqref>('Falls Injury Summary'!$G$13:$G$14,'Falls Injury Summary'!$G$17:$G$18,'Falls Injury Summary'!$G$21:$G$22,'Falls Injury Summary'!$G$25:$G$26,'Falls Injury Summary'!$G$29:$G$30,'Falls Injury Summary'!$G$33:$G$34,'Falls Injury Summary'!$G$37:$G$38)</c15:sqref>
                        </c15:formulaRef>
                      </c:ext>
                    </c:extLst>
                    <c:numCache>
                      <c:formatCode>General</c:formatCode>
                      <c:ptCount val="14"/>
                      <c:pt idx="0">
                        <c:v>0</c:v>
                      </c:pt>
                      <c:pt idx="1">
                        <c:v>0</c:v>
                      </c:pt>
                      <c:pt idx="2">
                        <c:v>0</c:v>
                      </c:pt>
                      <c:pt idx="3">
                        <c:v>0</c:v>
                      </c:pt>
                      <c:pt idx="4">
                        <c:v>0</c:v>
                      </c:pt>
                      <c:pt idx="5">
                        <c:v>0</c:v>
                      </c:pt>
                      <c:pt idx="6">
                        <c:v>0</c:v>
                      </c:pt>
                      <c:pt idx="7">
                        <c:v>0</c:v>
                      </c:pt>
                      <c:pt idx="8">
                        <c:v>0</c:v>
                      </c:pt>
                      <c:pt idx="9">
                        <c:v>0</c:v>
                      </c:pt>
                      <c:pt idx="10">
                        <c:v>0</c:v>
                      </c:pt>
                      <c:pt idx="11">
                        <c:v>0</c:v>
                      </c:pt>
                      <c:pt idx="12">
                        <c:v>0</c:v>
                      </c:pt>
                      <c:pt idx="13">
                        <c:v>0</c:v>
                      </c:pt>
                    </c:numCache>
                  </c:numRef>
                </c:val>
                <c:extLst xmlns:c15="http://schemas.microsoft.com/office/drawing/2012/chart">
                  <c:ext xmlns:c16="http://schemas.microsoft.com/office/drawing/2014/chart" uri="{C3380CC4-5D6E-409C-BE32-E72D297353CC}">
                    <c16:uniqueId val="{00000003-5980-4413-B7DA-C92C99EFB6F5}"/>
                  </c:ext>
                </c:extLst>
              </c15:ser>
            </c15:filteredBarSeries>
          </c:ext>
        </c:extLst>
      </c:barChart>
      <c:catAx>
        <c:axId val="69246582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692466240"/>
        <c:crosses val="autoZero"/>
        <c:auto val="1"/>
        <c:lblAlgn val="ctr"/>
        <c:lblOffset val="100"/>
        <c:noMultiLvlLbl val="0"/>
      </c:catAx>
      <c:valAx>
        <c:axId val="692466240"/>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692465824"/>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Falls by Day of Week</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n-US"/>
        </a:p>
      </c:txPr>
    </c:title>
    <c:autoTitleDeleted val="0"/>
    <c:plotArea>
      <c:layout/>
      <c:barChart>
        <c:barDir val="bar"/>
        <c:grouping val="clustered"/>
        <c:varyColors val="0"/>
        <c:ser>
          <c:idx val="1"/>
          <c:order val="1"/>
          <c:tx>
            <c:strRef>
              <c:f>calc!$F$78:$F$79</c:f>
              <c:strCache>
                <c:ptCount val="2"/>
                <c:pt idx="0">
                  <c:v>June-26</c:v>
                </c:pt>
                <c:pt idx="1">
                  <c:v>% by Day</c:v>
                </c:pt>
              </c:strCache>
            </c:strRef>
          </c:tx>
          <c:spPr>
            <a:solidFill>
              <a:srgbClr val="D663A6"/>
            </a:solidFill>
            <a:ln>
              <a:solidFill>
                <a:srgbClr val="D663A6"/>
              </a:solidFill>
            </a:ln>
            <a:effectLst/>
          </c:spPr>
          <c:invertIfNegative val="0"/>
          <c:dLbls>
            <c:delete val="1"/>
          </c:dLbls>
          <c:cat>
            <c:multiLvlStrRef>
              <c:f>calc!$C$80:$D$107</c:f>
              <c:multiLvlStrCache>
                <c:ptCount val="26"/>
                <c:lvl>
                  <c:pt idx="0">
                    <c:v>Entire Facility</c:v>
                  </c:pt>
                  <c:pt idx="1">
                    <c:v>Unit 1</c:v>
                  </c:pt>
                  <c:pt idx="4">
                    <c:v>Entire Facility</c:v>
                  </c:pt>
                  <c:pt idx="5">
                    <c:v>Unit 1</c:v>
                  </c:pt>
                  <c:pt idx="8">
                    <c:v>Entire Facility</c:v>
                  </c:pt>
                  <c:pt idx="9">
                    <c:v>Unit 1</c:v>
                  </c:pt>
                  <c:pt idx="12">
                    <c:v>Entire Facility</c:v>
                  </c:pt>
                  <c:pt idx="13">
                    <c:v>Unit 1</c:v>
                  </c:pt>
                  <c:pt idx="16">
                    <c:v>Entire Facility</c:v>
                  </c:pt>
                  <c:pt idx="17">
                    <c:v>Unit 1</c:v>
                  </c:pt>
                  <c:pt idx="20">
                    <c:v>Entire Facility</c:v>
                  </c:pt>
                  <c:pt idx="21">
                    <c:v>Unit 1</c:v>
                  </c:pt>
                  <c:pt idx="24">
                    <c:v>Entire Facility</c:v>
                  </c:pt>
                  <c:pt idx="25">
                    <c:v>Unit 1</c:v>
                  </c:pt>
                </c:lvl>
                <c:lvl>
                  <c:pt idx="0">
                    <c:v>Sunday</c:v>
                  </c:pt>
                  <c:pt idx="4">
                    <c:v>Monday</c:v>
                  </c:pt>
                  <c:pt idx="8">
                    <c:v>Tuesday</c:v>
                  </c:pt>
                  <c:pt idx="12">
                    <c:v>Wednesday</c:v>
                  </c:pt>
                  <c:pt idx="16">
                    <c:v>Thursday</c:v>
                  </c:pt>
                  <c:pt idx="20">
                    <c:v>Friday</c:v>
                  </c:pt>
                  <c:pt idx="24">
                    <c:v>Saturday</c:v>
                  </c:pt>
                </c:lvl>
              </c:multiLvlStrCache>
            </c:multiLvlStrRef>
          </c:cat>
          <c:val>
            <c:numRef>
              <c:f>calc!$F$80:$F$107</c:f>
              <c:numCache>
                <c:formatCode>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0-36D3-4F44-B2E2-AEAA96C06126}"/>
            </c:ext>
          </c:extLst>
        </c:ser>
        <c:ser>
          <c:idx val="3"/>
          <c:order val="3"/>
          <c:tx>
            <c:strRef>
              <c:f>calc!$H$78:$H$79</c:f>
              <c:strCache>
                <c:ptCount val="2"/>
                <c:pt idx="0">
                  <c:v>YTD</c:v>
                </c:pt>
                <c:pt idx="1">
                  <c:v>% by Day</c:v>
                </c:pt>
              </c:strCache>
            </c:strRef>
          </c:tx>
          <c:spPr>
            <a:solidFill>
              <a:srgbClr val="006DB7"/>
            </a:solidFill>
            <a:ln>
              <a:solidFill>
                <a:srgbClr val="006DB7"/>
              </a:solidFill>
            </a:ln>
            <a:effectLst/>
          </c:spPr>
          <c:invertIfNegative val="0"/>
          <c:dLbls>
            <c:delete val="1"/>
          </c:dLbls>
          <c:cat>
            <c:multiLvlStrRef>
              <c:f>calc!$C$80:$D$107</c:f>
              <c:multiLvlStrCache>
                <c:ptCount val="26"/>
                <c:lvl>
                  <c:pt idx="0">
                    <c:v>Entire Facility</c:v>
                  </c:pt>
                  <c:pt idx="1">
                    <c:v>Unit 1</c:v>
                  </c:pt>
                  <c:pt idx="4">
                    <c:v>Entire Facility</c:v>
                  </c:pt>
                  <c:pt idx="5">
                    <c:v>Unit 1</c:v>
                  </c:pt>
                  <c:pt idx="8">
                    <c:v>Entire Facility</c:v>
                  </c:pt>
                  <c:pt idx="9">
                    <c:v>Unit 1</c:v>
                  </c:pt>
                  <c:pt idx="12">
                    <c:v>Entire Facility</c:v>
                  </c:pt>
                  <c:pt idx="13">
                    <c:v>Unit 1</c:v>
                  </c:pt>
                  <c:pt idx="16">
                    <c:v>Entire Facility</c:v>
                  </c:pt>
                  <c:pt idx="17">
                    <c:v>Unit 1</c:v>
                  </c:pt>
                  <c:pt idx="20">
                    <c:v>Entire Facility</c:v>
                  </c:pt>
                  <c:pt idx="21">
                    <c:v>Unit 1</c:v>
                  </c:pt>
                  <c:pt idx="24">
                    <c:v>Entire Facility</c:v>
                  </c:pt>
                  <c:pt idx="25">
                    <c:v>Unit 1</c:v>
                  </c:pt>
                </c:lvl>
                <c:lvl>
                  <c:pt idx="0">
                    <c:v>Sunday</c:v>
                  </c:pt>
                  <c:pt idx="4">
                    <c:v>Monday</c:v>
                  </c:pt>
                  <c:pt idx="8">
                    <c:v>Tuesday</c:v>
                  </c:pt>
                  <c:pt idx="12">
                    <c:v>Wednesday</c:v>
                  </c:pt>
                  <c:pt idx="16">
                    <c:v>Thursday</c:v>
                  </c:pt>
                  <c:pt idx="20">
                    <c:v>Friday</c:v>
                  </c:pt>
                  <c:pt idx="24">
                    <c:v>Saturday</c:v>
                  </c:pt>
                </c:lvl>
              </c:multiLvlStrCache>
            </c:multiLvlStrRef>
          </c:cat>
          <c:val>
            <c:numRef>
              <c:f>calc!$H$80:$H$107</c:f>
              <c:numCache>
                <c:formatCode>0%</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1-36D3-4F44-B2E2-AEAA96C06126}"/>
            </c:ext>
          </c:extLst>
        </c:ser>
        <c:dLbls>
          <c:dLblPos val="outEnd"/>
          <c:showLegendKey val="0"/>
          <c:showVal val="1"/>
          <c:showCatName val="0"/>
          <c:showSerName val="0"/>
          <c:showPercent val="0"/>
          <c:showBubbleSize val="0"/>
        </c:dLbls>
        <c:gapWidth val="75"/>
        <c:axId val="271586335"/>
        <c:axId val="271585503"/>
        <c:extLst>
          <c:ext xmlns:c15="http://schemas.microsoft.com/office/drawing/2012/chart" uri="{02D57815-91ED-43cb-92C2-25804820EDAC}">
            <c15:filteredBarSeries>
              <c15:ser>
                <c:idx val="0"/>
                <c:order val="0"/>
                <c:tx>
                  <c:strRef>
                    <c:extLst>
                      <c:ext uri="{02D57815-91ED-43cb-92C2-25804820EDAC}">
                        <c15:formulaRef>
                          <c15:sqref>calc!$E$78:$E$79</c15:sqref>
                        </c15:formulaRef>
                      </c:ext>
                    </c:extLst>
                    <c:strCache>
                      <c:ptCount val="2"/>
                      <c:pt idx="0">
                        <c:v>June-26</c:v>
                      </c:pt>
                      <c:pt idx="1">
                        <c:v># by Day</c:v>
                      </c:pt>
                    </c:strCache>
                  </c:strRef>
                </c:tx>
                <c:spPr>
                  <a:solidFill>
                    <a:schemeClr val="accent1">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000"/>
                                <a:lumOff val="65000"/>
                              </a:schemeClr>
                            </a:solidFill>
                          </a:ln>
                          <a:effectLst/>
                        </c:spPr>
                      </c15:leaderLines>
                    </c:ext>
                  </c:extLst>
                </c:dLbls>
                <c:cat>
                  <c:multiLvlStrRef>
                    <c:extLst>
                      <c:ext uri="{02D57815-91ED-43cb-92C2-25804820EDAC}">
                        <c15:formulaRef>
                          <c15:sqref>calc!$C$80:$D$107</c15:sqref>
                        </c15:formulaRef>
                      </c:ext>
                    </c:extLst>
                    <c:multiLvlStrCache>
                      <c:ptCount val="26"/>
                      <c:lvl>
                        <c:pt idx="0">
                          <c:v>Entire Facility</c:v>
                        </c:pt>
                        <c:pt idx="1">
                          <c:v>Unit 1</c:v>
                        </c:pt>
                        <c:pt idx="4">
                          <c:v>Entire Facility</c:v>
                        </c:pt>
                        <c:pt idx="5">
                          <c:v>Unit 1</c:v>
                        </c:pt>
                        <c:pt idx="8">
                          <c:v>Entire Facility</c:v>
                        </c:pt>
                        <c:pt idx="9">
                          <c:v>Unit 1</c:v>
                        </c:pt>
                        <c:pt idx="12">
                          <c:v>Entire Facility</c:v>
                        </c:pt>
                        <c:pt idx="13">
                          <c:v>Unit 1</c:v>
                        </c:pt>
                        <c:pt idx="16">
                          <c:v>Entire Facility</c:v>
                        </c:pt>
                        <c:pt idx="17">
                          <c:v>Unit 1</c:v>
                        </c:pt>
                        <c:pt idx="20">
                          <c:v>Entire Facility</c:v>
                        </c:pt>
                        <c:pt idx="21">
                          <c:v>Unit 1</c:v>
                        </c:pt>
                        <c:pt idx="24">
                          <c:v>Entire Facility</c:v>
                        </c:pt>
                        <c:pt idx="25">
                          <c:v>Unit 1</c:v>
                        </c:pt>
                      </c:lvl>
                      <c:lvl>
                        <c:pt idx="0">
                          <c:v>Sunday</c:v>
                        </c:pt>
                        <c:pt idx="4">
                          <c:v>Monday</c:v>
                        </c:pt>
                        <c:pt idx="8">
                          <c:v>Tuesday</c:v>
                        </c:pt>
                        <c:pt idx="12">
                          <c:v>Wednesday</c:v>
                        </c:pt>
                        <c:pt idx="16">
                          <c:v>Thursday</c:v>
                        </c:pt>
                        <c:pt idx="20">
                          <c:v>Friday</c:v>
                        </c:pt>
                        <c:pt idx="24">
                          <c:v>Saturday</c:v>
                        </c:pt>
                      </c:lvl>
                    </c:multiLvlStrCache>
                  </c:multiLvlStrRef>
                </c:cat>
                <c:val>
                  <c:numRef>
                    <c:extLst>
                      <c:ext uri="{02D57815-91ED-43cb-92C2-25804820EDAC}">
                        <c15:formulaRef>
                          <c15:sqref>calc!$E$80:$E$107</c15:sqref>
                        </c15:formulaRef>
                      </c:ext>
                    </c:extLst>
                    <c:numCache>
                      <c:formatCode>General</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c:ext xmlns:c16="http://schemas.microsoft.com/office/drawing/2014/chart" uri="{C3380CC4-5D6E-409C-BE32-E72D297353CC}">
                    <c16:uniqueId val="{00000002-36D3-4F44-B2E2-AEAA96C06126}"/>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calc!$G$78:$G$79</c15:sqref>
                        </c15:formulaRef>
                      </c:ext>
                    </c:extLst>
                    <c:strCache>
                      <c:ptCount val="2"/>
                      <c:pt idx="0">
                        <c:v>YTD</c:v>
                      </c:pt>
                      <c:pt idx="1">
                        <c:v># by Day</c:v>
                      </c:pt>
                    </c:strCache>
                  </c:strRef>
                </c:tx>
                <c:spPr>
                  <a:solidFill>
                    <a:schemeClr val="accent3">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multiLvlStrRef>
                    <c:extLst xmlns:c15="http://schemas.microsoft.com/office/drawing/2012/chart">
                      <c:ext xmlns:c15="http://schemas.microsoft.com/office/drawing/2012/chart" uri="{02D57815-91ED-43cb-92C2-25804820EDAC}">
                        <c15:formulaRef>
                          <c15:sqref>calc!$C$80:$D$107</c15:sqref>
                        </c15:formulaRef>
                      </c:ext>
                    </c:extLst>
                    <c:multiLvlStrCache>
                      <c:ptCount val="26"/>
                      <c:lvl>
                        <c:pt idx="0">
                          <c:v>Entire Facility</c:v>
                        </c:pt>
                        <c:pt idx="1">
                          <c:v>Unit 1</c:v>
                        </c:pt>
                        <c:pt idx="4">
                          <c:v>Entire Facility</c:v>
                        </c:pt>
                        <c:pt idx="5">
                          <c:v>Unit 1</c:v>
                        </c:pt>
                        <c:pt idx="8">
                          <c:v>Entire Facility</c:v>
                        </c:pt>
                        <c:pt idx="9">
                          <c:v>Unit 1</c:v>
                        </c:pt>
                        <c:pt idx="12">
                          <c:v>Entire Facility</c:v>
                        </c:pt>
                        <c:pt idx="13">
                          <c:v>Unit 1</c:v>
                        </c:pt>
                        <c:pt idx="16">
                          <c:v>Entire Facility</c:v>
                        </c:pt>
                        <c:pt idx="17">
                          <c:v>Unit 1</c:v>
                        </c:pt>
                        <c:pt idx="20">
                          <c:v>Entire Facility</c:v>
                        </c:pt>
                        <c:pt idx="21">
                          <c:v>Unit 1</c:v>
                        </c:pt>
                        <c:pt idx="24">
                          <c:v>Entire Facility</c:v>
                        </c:pt>
                        <c:pt idx="25">
                          <c:v>Unit 1</c:v>
                        </c:pt>
                      </c:lvl>
                      <c:lvl>
                        <c:pt idx="0">
                          <c:v>Sunday</c:v>
                        </c:pt>
                        <c:pt idx="4">
                          <c:v>Monday</c:v>
                        </c:pt>
                        <c:pt idx="8">
                          <c:v>Tuesday</c:v>
                        </c:pt>
                        <c:pt idx="12">
                          <c:v>Wednesday</c:v>
                        </c:pt>
                        <c:pt idx="16">
                          <c:v>Thursday</c:v>
                        </c:pt>
                        <c:pt idx="20">
                          <c:v>Friday</c:v>
                        </c:pt>
                        <c:pt idx="24">
                          <c:v>Saturday</c:v>
                        </c:pt>
                      </c:lvl>
                    </c:multiLvlStrCache>
                  </c:multiLvlStrRef>
                </c:cat>
                <c:val>
                  <c:numRef>
                    <c:extLst xmlns:c15="http://schemas.microsoft.com/office/drawing/2012/chart">
                      <c:ext xmlns:c15="http://schemas.microsoft.com/office/drawing/2012/chart" uri="{02D57815-91ED-43cb-92C2-25804820EDAC}">
                        <c15:formulaRef>
                          <c15:sqref>calc!$G$80:$G$107</c15:sqref>
                        </c15:formulaRef>
                      </c:ext>
                    </c:extLst>
                    <c:numCache>
                      <c:formatCode>General</c:formatCode>
                      <c:ptCount val="2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numCache>
                  </c:numRef>
                </c:val>
                <c:extLst xmlns:c15="http://schemas.microsoft.com/office/drawing/2012/chart">
                  <c:ext xmlns:c16="http://schemas.microsoft.com/office/drawing/2014/chart" uri="{C3380CC4-5D6E-409C-BE32-E72D297353CC}">
                    <c16:uniqueId val="{00000003-36D3-4F44-B2E2-AEAA96C06126}"/>
                  </c:ext>
                </c:extLst>
              </c15:ser>
            </c15:filteredBarSeries>
          </c:ext>
        </c:extLst>
      </c:barChart>
      <c:catAx>
        <c:axId val="271586335"/>
        <c:scaling>
          <c:orientation val="maxMin"/>
        </c:scaling>
        <c:delete val="0"/>
        <c:axPos val="l"/>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en-US"/>
          </a:p>
        </c:txPr>
        <c:crossAx val="271585503"/>
        <c:crosses val="autoZero"/>
        <c:auto val="1"/>
        <c:lblAlgn val="ctr"/>
        <c:lblOffset val="100"/>
        <c:noMultiLvlLbl val="0"/>
      </c:catAx>
      <c:valAx>
        <c:axId val="271585503"/>
        <c:scaling>
          <c:orientation val="minMax"/>
        </c:scaling>
        <c:delete val="0"/>
        <c:axPos val="t"/>
        <c:majorGridlines>
          <c:spPr>
            <a:ln w="9525" cap="flat" cmpd="sng" algn="ctr">
              <a:solidFill>
                <a:schemeClr val="tx1">
                  <a:lumMod val="5000"/>
                  <a:lumOff val="9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en-US"/>
          </a:p>
        </c:txPr>
        <c:crossAx val="27158633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lt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Injury Treatment by Location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col"/>
        <c:grouping val="clustered"/>
        <c:varyColors val="0"/>
        <c:ser>
          <c:idx val="1"/>
          <c:order val="1"/>
          <c:tx>
            <c:strRef>
              <c:f>'Falls Injury Summary'!$F$44:$F$45</c:f>
              <c:strCache>
                <c:ptCount val="2"/>
                <c:pt idx="0">
                  <c:v>June-26</c:v>
                </c:pt>
                <c:pt idx="1">
                  <c:v>%Falls w/ Injury Treated in ED</c:v>
                </c:pt>
              </c:strCache>
            </c:strRef>
          </c:tx>
          <c:spPr>
            <a:solidFill>
              <a:srgbClr val="D663A6"/>
            </a:solidFill>
            <a:ln>
              <a:solidFill>
                <a:srgbClr val="D663A6"/>
              </a:solidFill>
            </a:ln>
            <a:effectLst/>
          </c:spPr>
          <c:invertIfNegative val="0"/>
          <c:cat>
            <c:multiLvlStrRef>
              <c:f>'Falls Injury Summary'!$C$46:$D$49</c:f>
              <c:multiLvlStrCache>
                <c:ptCount val="4"/>
                <c:lvl>
                  <c:pt idx="0">
                    <c:v>Entire Facility</c:v>
                  </c:pt>
                  <c:pt idx="1">
                    <c:v>Unit 1</c:v>
                  </c:pt>
                  <c:pt idx="2">
                    <c:v>Unit 2</c:v>
                  </c:pt>
                  <c:pt idx="3">
                    <c:v>Unit 3</c:v>
                  </c:pt>
                </c:lvl>
                <c:lvl>
                  <c:pt idx="0">
                    <c:v>Treatment in Emergency Room</c:v>
                  </c:pt>
                </c:lvl>
              </c:multiLvlStrCache>
            </c:multiLvlStrRef>
          </c:cat>
          <c:val>
            <c:numRef>
              <c:f>'Falls Injury Summary'!$F$46:$F$49</c:f>
              <c:numCache>
                <c:formatCode>0%</c:formatCode>
                <c:ptCount val="4"/>
                <c:pt idx="0">
                  <c:v>0</c:v>
                </c:pt>
                <c:pt idx="1">
                  <c:v>0</c:v>
                </c:pt>
                <c:pt idx="2">
                  <c:v>0</c:v>
                </c:pt>
                <c:pt idx="3">
                  <c:v>0</c:v>
                </c:pt>
              </c:numCache>
            </c:numRef>
          </c:val>
          <c:extLst>
            <c:ext xmlns:c16="http://schemas.microsoft.com/office/drawing/2014/chart" uri="{C3380CC4-5D6E-409C-BE32-E72D297353CC}">
              <c16:uniqueId val="{00000000-650F-4681-9DE9-662C0E36DCC7}"/>
            </c:ext>
          </c:extLst>
        </c:ser>
        <c:ser>
          <c:idx val="3"/>
          <c:order val="3"/>
          <c:tx>
            <c:strRef>
              <c:f>'Falls Injury Summary'!$H$44:$H$45</c:f>
              <c:strCache>
                <c:ptCount val="2"/>
                <c:pt idx="0">
                  <c:v>YTD</c:v>
                </c:pt>
                <c:pt idx="1">
                  <c:v>%Falls w/ Injury Treated in ED</c:v>
                </c:pt>
              </c:strCache>
            </c:strRef>
          </c:tx>
          <c:spPr>
            <a:solidFill>
              <a:srgbClr val="006DB7"/>
            </a:solidFill>
            <a:ln>
              <a:solidFill>
                <a:srgbClr val="006DB7"/>
              </a:solidFill>
            </a:ln>
            <a:effectLst/>
          </c:spPr>
          <c:invertIfNegative val="0"/>
          <c:cat>
            <c:multiLvlStrRef>
              <c:f>'Falls Injury Summary'!$C$46:$D$49</c:f>
              <c:multiLvlStrCache>
                <c:ptCount val="4"/>
                <c:lvl>
                  <c:pt idx="0">
                    <c:v>Entire Facility</c:v>
                  </c:pt>
                  <c:pt idx="1">
                    <c:v>Unit 1</c:v>
                  </c:pt>
                  <c:pt idx="2">
                    <c:v>Unit 2</c:v>
                  </c:pt>
                  <c:pt idx="3">
                    <c:v>Unit 3</c:v>
                  </c:pt>
                </c:lvl>
                <c:lvl>
                  <c:pt idx="0">
                    <c:v>Treatment in Emergency Room</c:v>
                  </c:pt>
                </c:lvl>
              </c:multiLvlStrCache>
            </c:multiLvlStrRef>
          </c:cat>
          <c:val>
            <c:numRef>
              <c:f>'Falls Injury Summary'!$H$46:$H$49</c:f>
              <c:numCache>
                <c:formatCode>0%</c:formatCode>
                <c:ptCount val="4"/>
                <c:pt idx="0">
                  <c:v>0</c:v>
                </c:pt>
                <c:pt idx="1">
                  <c:v>0</c:v>
                </c:pt>
                <c:pt idx="2">
                  <c:v>0</c:v>
                </c:pt>
                <c:pt idx="3">
                  <c:v>0</c:v>
                </c:pt>
              </c:numCache>
            </c:numRef>
          </c:val>
          <c:extLst>
            <c:ext xmlns:c16="http://schemas.microsoft.com/office/drawing/2014/chart" uri="{C3380CC4-5D6E-409C-BE32-E72D297353CC}">
              <c16:uniqueId val="{00000001-650F-4681-9DE9-662C0E36DCC7}"/>
            </c:ext>
          </c:extLst>
        </c:ser>
        <c:dLbls>
          <c:showLegendKey val="0"/>
          <c:showVal val="0"/>
          <c:showCatName val="0"/>
          <c:showSerName val="0"/>
          <c:showPercent val="0"/>
          <c:showBubbleSize val="0"/>
        </c:dLbls>
        <c:gapWidth val="219"/>
        <c:overlap val="-27"/>
        <c:axId val="612882592"/>
        <c:axId val="612883008"/>
        <c:extLst>
          <c:ext xmlns:c15="http://schemas.microsoft.com/office/drawing/2012/chart" uri="{02D57815-91ED-43cb-92C2-25804820EDAC}">
            <c15:filteredBarSeries>
              <c15:ser>
                <c:idx val="0"/>
                <c:order val="0"/>
                <c:tx>
                  <c:strRef>
                    <c:extLst>
                      <c:ext uri="{02D57815-91ED-43cb-92C2-25804820EDAC}">
                        <c15:formulaRef>
                          <c15:sqref>'Falls Injury Summary'!$E$44:$E$45</c15:sqref>
                        </c15:formulaRef>
                      </c:ext>
                    </c:extLst>
                    <c:strCache>
                      <c:ptCount val="2"/>
                      <c:pt idx="0">
                        <c:v>June-26</c:v>
                      </c:pt>
                      <c:pt idx="1">
                        <c:v>#Falls w/ Injury Treated in ED</c:v>
                      </c:pt>
                    </c:strCache>
                  </c:strRef>
                </c:tx>
                <c:spPr>
                  <a:solidFill>
                    <a:schemeClr val="accent1"/>
                  </a:solidFill>
                  <a:ln>
                    <a:noFill/>
                  </a:ln>
                  <a:effectLst/>
                </c:spPr>
                <c:invertIfNegative val="0"/>
                <c:cat>
                  <c:multiLvlStrRef>
                    <c:extLst>
                      <c:ext uri="{02D57815-91ED-43cb-92C2-25804820EDAC}">
                        <c15:formulaRef>
                          <c15:sqref>'Falls Injury Summary'!$C$46:$D$49</c15:sqref>
                        </c15:formulaRef>
                      </c:ext>
                    </c:extLst>
                    <c:multiLvlStrCache>
                      <c:ptCount val="4"/>
                      <c:lvl>
                        <c:pt idx="0">
                          <c:v>Entire Facility</c:v>
                        </c:pt>
                        <c:pt idx="1">
                          <c:v>Unit 1</c:v>
                        </c:pt>
                        <c:pt idx="2">
                          <c:v>Unit 2</c:v>
                        </c:pt>
                        <c:pt idx="3">
                          <c:v>Unit 3</c:v>
                        </c:pt>
                      </c:lvl>
                      <c:lvl>
                        <c:pt idx="0">
                          <c:v>Treatment in Emergency Room</c:v>
                        </c:pt>
                      </c:lvl>
                    </c:multiLvlStrCache>
                  </c:multiLvlStrRef>
                </c:cat>
                <c:val>
                  <c:numRef>
                    <c:extLst>
                      <c:ext uri="{02D57815-91ED-43cb-92C2-25804820EDAC}">
                        <c15:formulaRef>
                          <c15:sqref>'Falls Injury Summary'!$E$46:$E$49</c15:sqref>
                        </c15:formulaRef>
                      </c:ext>
                    </c:extLst>
                    <c:numCache>
                      <c:formatCode>General</c:formatCode>
                      <c:ptCount val="4"/>
                      <c:pt idx="0">
                        <c:v>0</c:v>
                      </c:pt>
                      <c:pt idx="1">
                        <c:v>0</c:v>
                      </c:pt>
                      <c:pt idx="2">
                        <c:v>0</c:v>
                      </c:pt>
                      <c:pt idx="3">
                        <c:v>0</c:v>
                      </c:pt>
                    </c:numCache>
                  </c:numRef>
                </c:val>
                <c:extLst>
                  <c:ext xmlns:c16="http://schemas.microsoft.com/office/drawing/2014/chart" uri="{C3380CC4-5D6E-409C-BE32-E72D297353CC}">
                    <c16:uniqueId val="{00000002-650F-4681-9DE9-662C0E36DCC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'Falls Injury Summary'!$G$44:$G$45</c15:sqref>
                        </c15:formulaRef>
                      </c:ext>
                    </c:extLst>
                    <c:strCache>
                      <c:ptCount val="2"/>
                      <c:pt idx="0">
                        <c:v>YTD</c:v>
                      </c:pt>
                      <c:pt idx="1">
                        <c:v>#Falls w/ Injury Treated in ED</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'Falls Injury Summary'!$C$46:$D$49</c15:sqref>
                        </c15:formulaRef>
                      </c:ext>
                    </c:extLst>
                    <c:multiLvlStrCache>
                      <c:ptCount val="4"/>
                      <c:lvl>
                        <c:pt idx="0">
                          <c:v>Entire Facility</c:v>
                        </c:pt>
                        <c:pt idx="1">
                          <c:v>Unit 1</c:v>
                        </c:pt>
                        <c:pt idx="2">
                          <c:v>Unit 2</c:v>
                        </c:pt>
                        <c:pt idx="3">
                          <c:v>Unit 3</c:v>
                        </c:pt>
                      </c:lvl>
                      <c:lvl>
                        <c:pt idx="0">
                          <c:v>Treatment in Emergency Room</c:v>
                        </c:pt>
                      </c:lvl>
                    </c:multiLvlStrCache>
                  </c:multiLvlStrRef>
                </c:cat>
                <c:val>
                  <c:numRef>
                    <c:extLst xmlns:c15="http://schemas.microsoft.com/office/drawing/2012/chart">
                      <c:ext xmlns:c15="http://schemas.microsoft.com/office/drawing/2012/chart" uri="{02D57815-91ED-43cb-92C2-25804820EDAC}">
                        <c15:formulaRef>
                          <c15:sqref>'Falls Injury Summary'!$G$46:$G$49</c15:sqref>
                        </c15:formulaRef>
                      </c:ext>
                    </c:extLst>
                    <c:numCache>
                      <c:formatCode>General</c:formatCode>
                      <c:ptCount val="4"/>
                      <c:pt idx="0">
                        <c:v>0</c:v>
                      </c:pt>
                      <c:pt idx="1">
                        <c:v>0</c:v>
                      </c:pt>
                      <c:pt idx="2">
                        <c:v>0</c:v>
                      </c:pt>
                      <c:pt idx="3">
                        <c:v>0</c:v>
                      </c:pt>
                    </c:numCache>
                  </c:numRef>
                </c:val>
                <c:extLst xmlns:c15="http://schemas.microsoft.com/office/drawing/2012/chart">
                  <c:ext xmlns:c16="http://schemas.microsoft.com/office/drawing/2014/chart" uri="{C3380CC4-5D6E-409C-BE32-E72D297353CC}">
                    <c16:uniqueId val="{00000003-650F-4681-9DE9-662C0E36DCC7}"/>
                  </c:ext>
                </c:extLst>
              </c15:ser>
            </c15:filteredBarSeries>
          </c:ext>
        </c:extLst>
      </c:barChart>
      <c:catAx>
        <c:axId val="612882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612883008"/>
        <c:crosses val="autoZero"/>
        <c:auto val="1"/>
        <c:lblAlgn val="ctr"/>
        <c:lblOffset val="100"/>
        <c:noMultiLvlLbl val="0"/>
      </c:catAx>
      <c:valAx>
        <c:axId val="61288300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61288259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r>
              <a:rPr lang="en-US"/>
              <a:t>Falls w/ Injury by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title>
    <c:autoTitleDeleted val="0"/>
    <c:plotArea>
      <c:layout/>
      <c:barChart>
        <c:barDir val="col"/>
        <c:grouping val="clustered"/>
        <c:varyColors val="0"/>
        <c:ser>
          <c:idx val="0"/>
          <c:order val="0"/>
          <c:tx>
            <c:strRef>
              <c:f>'Falls Injury Summary'!$K$14</c:f>
              <c:strCache>
                <c:ptCount val="1"/>
                <c:pt idx="0">
                  <c:v>June-26</c:v>
                </c:pt>
              </c:strCache>
            </c:strRef>
          </c:tx>
          <c:spPr>
            <a:solidFill>
              <a:srgbClr val="D663A6"/>
            </a:solidFill>
            <a:ln>
              <a:solidFill>
                <a:srgbClr val="D663A6"/>
              </a:solidFill>
            </a:ln>
            <a:effectLst/>
          </c:spPr>
          <c:invertIfNegative val="0"/>
          <c:cat>
            <c:strRef>
              <c:f>'Falls Injury Summary'!$J$15:$J$18</c:f>
              <c:strCache>
                <c:ptCount val="4"/>
                <c:pt idx="0">
                  <c:v>Unit 1</c:v>
                </c:pt>
                <c:pt idx="1">
                  <c:v>Unit 2</c:v>
                </c:pt>
                <c:pt idx="2">
                  <c:v>Unit 3</c:v>
                </c:pt>
                <c:pt idx="3">
                  <c:v>Entire Facility</c:v>
                </c:pt>
              </c:strCache>
            </c:strRef>
          </c:cat>
          <c:val>
            <c:numRef>
              <c:f>'Falls Injury Summary'!$K$15:$K$18</c:f>
              <c:numCache>
                <c:formatCode>0.0%</c:formatCode>
                <c:ptCount val="4"/>
                <c:pt idx="0">
                  <c:v>0</c:v>
                </c:pt>
                <c:pt idx="1">
                  <c:v>0</c:v>
                </c:pt>
                <c:pt idx="2">
                  <c:v>0</c:v>
                </c:pt>
                <c:pt idx="3">
                  <c:v>0</c:v>
                </c:pt>
              </c:numCache>
            </c:numRef>
          </c:val>
          <c:extLst>
            <c:ext xmlns:c16="http://schemas.microsoft.com/office/drawing/2014/chart" uri="{C3380CC4-5D6E-409C-BE32-E72D297353CC}">
              <c16:uniqueId val="{00000000-F823-49CC-8E9B-B9A60D50FB86}"/>
            </c:ext>
          </c:extLst>
        </c:ser>
        <c:ser>
          <c:idx val="1"/>
          <c:order val="1"/>
          <c:tx>
            <c:strRef>
              <c:f>'Falls Injury Summary'!$L$14</c:f>
              <c:strCache>
                <c:ptCount val="1"/>
                <c:pt idx="0">
                  <c:v>YTD</c:v>
                </c:pt>
              </c:strCache>
            </c:strRef>
          </c:tx>
          <c:spPr>
            <a:solidFill>
              <a:srgbClr val="006DB7"/>
            </a:solidFill>
            <a:ln>
              <a:solidFill>
                <a:srgbClr val="006DB7"/>
              </a:solidFill>
            </a:ln>
            <a:effectLst/>
          </c:spPr>
          <c:invertIfNegative val="0"/>
          <c:cat>
            <c:strRef>
              <c:f>'Falls Injury Summary'!$J$15:$J$18</c:f>
              <c:strCache>
                <c:ptCount val="4"/>
                <c:pt idx="0">
                  <c:v>Unit 1</c:v>
                </c:pt>
                <c:pt idx="1">
                  <c:v>Unit 2</c:v>
                </c:pt>
                <c:pt idx="2">
                  <c:v>Unit 3</c:v>
                </c:pt>
                <c:pt idx="3">
                  <c:v>Entire Facility</c:v>
                </c:pt>
              </c:strCache>
            </c:strRef>
          </c:cat>
          <c:val>
            <c:numRef>
              <c:f>'Falls Injury Summary'!$L$15:$L$18</c:f>
              <c:numCache>
                <c:formatCode>0.0%</c:formatCode>
                <c:ptCount val="4"/>
                <c:pt idx="0">
                  <c:v>0</c:v>
                </c:pt>
                <c:pt idx="1">
                  <c:v>0</c:v>
                </c:pt>
                <c:pt idx="2">
                  <c:v>0</c:v>
                </c:pt>
                <c:pt idx="3">
                  <c:v>0</c:v>
                </c:pt>
              </c:numCache>
            </c:numRef>
          </c:val>
          <c:extLst>
            <c:ext xmlns:c16="http://schemas.microsoft.com/office/drawing/2014/chart" uri="{C3380CC4-5D6E-409C-BE32-E72D297353CC}">
              <c16:uniqueId val="{00000001-F823-49CC-8E9B-B9A60D50FB86}"/>
            </c:ext>
          </c:extLst>
        </c:ser>
        <c:dLbls>
          <c:showLegendKey val="0"/>
          <c:showVal val="0"/>
          <c:showCatName val="0"/>
          <c:showSerName val="0"/>
          <c:showPercent val="0"/>
          <c:showBubbleSize val="0"/>
        </c:dLbls>
        <c:gapWidth val="150"/>
        <c:axId val="291383935"/>
        <c:axId val="291402239"/>
      </c:barChart>
      <c:catAx>
        <c:axId val="2913839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291402239"/>
        <c:crosses val="autoZero"/>
        <c:auto val="1"/>
        <c:lblAlgn val="ctr"/>
        <c:lblOffset val="100"/>
        <c:noMultiLvlLbl val="0"/>
      </c:catAx>
      <c:valAx>
        <c:axId val="29140223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crossAx val="291383935"/>
        <c:crosses val="autoZero"/>
        <c:crossBetween val="between"/>
        <c:majorUnit val="0.2"/>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Nirmala UI" panose="020B0502040204020203" pitchFamily="34" charset="0"/>
                <a:ea typeface="Nirmala UI" panose="020B0502040204020203" pitchFamily="34" charset="0"/>
                <a:cs typeface="Nirmala UI" panose="020B0502040204020203" pitchFamily="34" charset="0"/>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Nirmala UI" panose="020B0502040204020203" pitchFamily="34" charset="0"/>
          <a:ea typeface="Nirmala UI" panose="020B0502040204020203" pitchFamily="34" charset="0"/>
          <a:cs typeface="Nirmala UI" panose="020B0502040204020203"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Falls by Shift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calc!$F$110:$F$111</c:f>
              <c:strCache>
                <c:ptCount val="2"/>
                <c:pt idx="0">
                  <c:v>June-26</c:v>
                </c:pt>
                <c:pt idx="1">
                  <c:v>% by Shift</c:v>
                </c:pt>
              </c:strCache>
            </c:strRef>
          </c:tx>
          <c:spPr>
            <a:solidFill>
              <a:srgbClr val="D663A6"/>
            </a:solidFill>
            <a:ln>
              <a:solidFill>
                <a:srgbClr val="D663A6"/>
              </a:solidFill>
            </a:ln>
            <a:effectLst/>
          </c:spPr>
          <c:invertIfNegative val="0"/>
          <c:cat>
            <c:multiLvlStrRef>
              <c:f>calc!$C$112:$D$123</c:f>
              <c:multiLvlStrCache>
                <c:ptCount val="10"/>
                <c:lvl>
                  <c:pt idx="0">
                    <c:v>Entire Facility</c:v>
                  </c:pt>
                  <c:pt idx="1">
                    <c:v>Unit 1</c:v>
                  </c:pt>
                  <c:pt idx="4">
                    <c:v>Entire Facility</c:v>
                  </c:pt>
                  <c:pt idx="5">
                    <c:v>Unit 1</c:v>
                  </c:pt>
                  <c:pt idx="8">
                    <c:v>Entire Facility</c:v>
                  </c:pt>
                  <c:pt idx="9">
                    <c:v>Unit 1</c:v>
                  </c:pt>
                </c:lvl>
                <c:lvl>
                  <c:pt idx="0">
                    <c:v>Days</c:v>
                  </c:pt>
                  <c:pt idx="4">
                    <c:v>Evenings</c:v>
                  </c:pt>
                  <c:pt idx="8">
                    <c:v>Nights</c:v>
                  </c:pt>
                </c:lvl>
              </c:multiLvlStrCache>
            </c:multiLvlStrRef>
          </c:cat>
          <c:val>
            <c:numRef>
              <c:f>calc!$F$112:$F$123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F4A-428B-A679-E92B21702516}"/>
            </c:ext>
          </c:extLst>
        </c:ser>
        <c:ser>
          <c:idx val="3"/>
          <c:order val="3"/>
          <c:tx>
            <c:strRef>
              <c:f>calc!$H$110:$H$111</c:f>
              <c:strCache>
                <c:ptCount val="2"/>
                <c:pt idx="0">
                  <c:v>YTD</c:v>
                </c:pt>
                <c:pt idx="1">
                  <c:v>% by Shift</c:v>
                </c:pt>
              </c:strCache>
            </c:strRef>
          </c:tx>
          <c:spPr>
            <a:solidFill>
              <a:srgbClr val="006DB7"/>
            </a:solidFill>
            <a:ln>
              <a:solidFill>
                <a:srgbClr val="006DB7"/>
              </a:solidFill>
            </a:ln>
            <a:effectLst/>
          </c:spPr>
          <c:invertIfNegative val="0"/>
          <c:cat>
            <c:multiLvlStrRef>
              <c:f>calc!$C$112:$D$123</c:f>
              <c:multiLvlStrCache>
                <c:ptCount val="10"/>
                <c:lvl>
                  <c:pt idx="0">
                    <c:v>Entire Facility</c:v>
                  </c:pt>
                  <c:pt idx="1">
                    <c:v>Unit 1</c:v>
                  </c:pt>
                  <c:pt idx="4">
                    <c:v>Entire Facility</c:v>
                  </c:pt>
                  <c:pt idx="5">
                    <c:v>Unit 1</c:v>
                  </c:pt>
                  <c:pt idx="8">
                    <c:v>Entire Facility</c:v>
                  </c:pt>
                  <c:pt idx="9">
                    <c:v>Unit 1</c:v>
                  </c:pt>
                </c:lvl>
                <c:lvl>
                  <c:pt idx="0">
                    <c:v>Days</c:v>
                  </c:pt>
                  <c:pt idx="4">
                    <c:v>Evenings</c:v>
                  </c:pt>
                  <c:pt idx="8">
                    <c:v>Nights</c:v>
                  </c:pt>
                </c:lvl>
              </c:multiLvlStrCache>
            </c:multiLvlStrRef>
          </c:cat>
          <c:val>
            <c:numRef>
              <c:f>calc!$H$112:$H$123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4F4A-428B-A679-E92B21702516}"/>
            </c:ext>
          </c:extLst>
        </c:ser>
        <c:dLbls>
          <c:showLegendKey val="0"/>
          <c:showVal val="0"/>
          <c:showCatName val="0"/>
          <c:showSerName val="0"/>
          <c:showPercent val="0"/>
          <c:showBubbleSize val="0"/>
        </c:dLbls>
        <c:gapWidth val="219"/>
        <c:overlap val="-27"/>
        <c:axId val="879354351"/>
        <c:axId val="879357263"/>
        <c:extLst>
          <c:ext xmlns:c15="http://schemas.microsoft.com/office/drawing/2012/chart" uri="{02D57815-91ED-43cb-92C2-25804820EDAC}">
            <c15:filteredBarSeries>
              <c15:ser>
                <c:idx val="0"/>
                <c:order val="0"/>
                <c:tx>
                  <c:strRef>
                    <c:extLst>
                      <c:ext uri="{02D57815-91ED-43cb-92C2-25804820EDAC}">
                        <c15:formulaRef>
                          <c15:sqref>calc!$E$110:$E$111</c15:sqref>
                        </c15:formulaRef>
                      </c:ext>
                    </c:extLst>
                    <c:strCache>
                      <c:ptCount val="2"/>
                      <c:pt idx="0">
                        <c:v>June-26</c:v>
                      </c:pt>
                      <c:pt idx="1">
                        <c:v># by Shift</c:v>
                      </c:pt>
                    </c:strCache>
                  </c:strRef>
                </c:tx>
                <c:spPr>
                  <a:solidFill>
                    <a:schemeClr val="accent1"/>
                  </a:solidFill>
                  <a:ln>
                    <a:noFill/>
                  </a:ln>
                  <a:effectLst/>
                </c:spPr>
                <c:invertIfNegative val="0"/>
                <c:cat>
                  <c:multiLvlStrRef>
                    <c:extLst>
                      <c:ext uri="{02D57815-91ED-43cb-92C2-25804820EDAC}">
                        <c15:formulaRef>
                          <c15:sqref>calc!$C$112:$D$123</c15:sqref>
                        </c15:formulaRef>
                      </c:ext>
                    </c:extLst>
                    <c:multiLvlStrCache>
                      <c:ptCount val="10"/>
                      <c:lvl>
                        <c:pt idx="0">
                          <c:v>Entire Facility</c:v>
                        </c:pt>
                        <c:pt idx="1">
                          <c:v>Unit 1</c:v>
                        </c:pt>
                        <c:pt idx="4">
                          <c:v>Entire Facility</c:v>
                        </c:pt>
                        <c:pt idx="5">
                          <c:v>Unit 1</c:v>
                        </c:pt>
                        <c:pt idx="8">
                          <c:v>Entire Facility</c:v>
                        </c:pt>
                        <c:pt idx="9">
                          <c:v>Unit 1</c:v>
                        </c:pt>
                      </c:lvl>
                      <c:lvl>
                        <c:pt idx="0">
                          <c:v>Days</c:v>
                        </c:pt>
                        <c:pt idx="4">
                          <c:v>Evenings</c:v>
                        </c:pt>
                        <c:pt idx="8">
                          <c:v>Nights</c:v>
                        </c:pt>
                      </c:lvl>
                    </c:multiLvlStrCache>
                  </c:multiLvlStrRef>
                </c:cat>
                <c:val>
                  <c:numRef>
                    <c:extLst>
                      <c:ext uri="{02D57815-91ED-43cb-92C2-25804820EDAC}">
                        <c15:formulaRef>
                          <c15:sqref>calc!$E$112:$E$123</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4F4A-428B-A679-E92B21702516}"/>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calc!$G$110:$G$111</c15:sqref>
                        </c15:formulaRef>
                      </c:ext>
                    </c:extLst>
                    <c:strCache>
                      <c:ptCount val="2"/>
                      <c:pt idx="0">
                        <c:v>YTD</c:v>
                      </c:pt>
                      <c:pt idx="1">
                        <c:v># by Shift</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calc!$C$112:$D$123</c15:sqref>
                        </c15:formulaRef>
                      </c:ext>
                    </c:extLst>
                    <c:multiLvlStrCache>
                      <c:ptCount val="10"/>
                      <c:lvl>
                        <c:pt idx="0">
                          <c:v>Entire Facility</c:v>
                        </c:pt>
                        <c:pt idx="1">
                          <c:v>Unit 1</c:v>
                        </c:pt>
                        <c:pt idx="4">
                          <c:v>Entire Facility</c:v>
                        </c:pt>
                        <c:pt idx="5">
                          <c:v>Unit 1</c:v>
                        </c:pt>
                        <c:pt idx="8">
                          <c:v>Entire Facility</c:v>
                        </c:pt>
                        <c:pt idx="9">
                          <c:v>Unit 1</c:v>
                        </c:pt>
                      </c:lvl>
                      <c:lvl>
                        <c:pt idx="0">
                          <c:v>Days</c:v>
                        </c:pt>
                        <c:pt idx="4">
                          <c:v>Evenings</c:v>
                        </c:pt>
                        <c:pt idx="8">
                          <c:v>Nights</c:v>
                        </c:pt>
                      </c:lvl>
                    </c:multiLvlStrCache>
                  </c:multiLvlStrRef>
                </c:cat>
                <c:val>
                  <c:numRef>
                    <c:extLst xmlns:c15="http://schemas.microsoft.com/office/drawing/2012/chart">
                      <c:ext xmlns:c15="http://schemas.microsoft.com/office/drawing/2012/chart" uri="{02D57815-91ED-43cb-92C2-25804820EDAC}">
                        <c15:formulaRef>
                          <c15:sqref>calc!$G$112:$G$123</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4F4A-428B-A679-E92B21702516}"/>
                  </c:ext>
                </c:extLst>
              </c15:ser>
            </c15:filteredBarSeries>
          </c:ext>
        </c:extLst>
      </c:barChart>
      <c:catAx>
        <c:axId val="8793543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9357263"/>
        <c:crosses val="autoZero"/>
        <c:auto val="1"/>
        <c:lblAlgn val="ctr"/>
        <c:lblOffset val="100"/>
        <c:noMultiLvlLbl val="0"/>
      </c:catAx>
      <c:valAx>
        <c:axId val="879357263"/>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79354351"/>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 by Time: Day Shift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1"/>
          <c:tx>
            <c:strRef>
              <c:f>calc!$F$130:$F$131</c:f>
              <c:strCache>
                <c:ptCount val="2"/>
                <c:pt idx="0">
                  <c:v>June-26</c:v>
                </c:pt>
                <c:pt idx="1">
                  <c:v>% by Time</c:v>
                </c:pt>
              </c:strCache>
            </c:strRef>
          </c:tx>
          <c:spPr>
            <a:solidFill>
              <a:srgbClr val="D663A6"/>
            </a:solidFill>
            <a:ln>
              <a:solidFill>
                <a:srgbClr val="D663A6"/>
              </a:solidFill>
            </a:ln>
            <a:effectLst/>
          </c:spPr>
          <c:invertIfNegative val="0"/>
          <c:cat>
            <c:multiLvlStrRef>
              <c:f>calc!$C$132:$D$147</c:f>
              <c:multiLvlStrCache>
                <c:ptCount val="14"/>
                <c:lvl>
                  <c:pt idx="0">
                    <c:v>Entire Facility</c:v>
                  </c:pt>
                  <c:pt idx="1">
                    <c:v>Unit 1</c:v>
                  </c:pt>
                  <c:pt idx="4">
                    <c:v>Entire Facility</c:v>
                  </c:pt>
                  <c:pt idx="5">
                    <c:v>Unit 1</c:v>
                  </c:pt>
                  <c:pt idx="8">
                    <c:v>Entire Facility</c:v>
                  </c:pt>
                  <c:pt idx="9">
                    <c:v>Unit 1</c:v>
                  </c:pt>
                  <c:pt idx="12">
                    <c:v>Entire Facility</c:v>
                  </c:pt>
                  <c:pt idx="13">
                    <c:v>Unit 1</c:v>
                  </c:pt>
                </c:lvl>
                <c:lvl>
                  <c:pt idx="0">
                    <c:v>7 am to 9:59 am</c:v>
                  </c:pt>
                  <c:pt idx="4">
                    <c:v>10 am to 11:59 am</c:v>
                  </c:pt>
                  <c:pt idx="8">
                    <c:v>12 pm to 1:29 pm</c:v>
                  </c:pt>
                  <c:pt idx="12">
                    <c:v>1:30 pm to 2:59 pm</c:v>
                  </c:pt>
                </c:lvl>
              </c:multiLvlStrCache>
            </c:multiLvlStrRef>
          </c:cat>
          <c:val>
            <c:numRef>
              <c:f>calc!$F$132:$F$147</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A665-4A5D-94C0-E69A748808DD}"/>
            </c:ext>
          </c:extLst>
        </c:ser>
        <c:ser>
          <c:idx val="3"/>
          <c:order val="3"/>
          <c:tx>
            <c:strRef>
              <c:f>calc!$H$130:$H$131</c:f>
              <c:strCache>
                <c:ptCount val="2"/>
                <c:pt idx="0">
                  <c:v>YTD</c:v>
                </c:pt>
                <c:pt idx="1">
                  <c:v>% by Time</c:v>
                </c:pt>
              </c:strCache>
            </c:strRef>
          </c:tx>
          <c:spPr>
            <a:solidFill>
              <a:srgbClr val="006DB7"/>
            </a:solidFill>
            <a:ln>
              <a:solidFill>
                <a:srgbClr val="006DB7"/>
              </a:solidFill>
            </a:ln>
            <a:effectLst/>
          </c:spPr>
          <c:invertIfNegative val="0"/>
          <c:cat>
            <c:multiLvlStrRef>
              <c:f>calc!$C$132:$D$147</c:f>
              <c:multiLvlStrCache>
                <c:ptCount val="14"/>
                <c:lvl>
                  <c:pt idx="0">
                    <c:v>Entire Facility</c:v>
                  </c:pt>
                  <c:pt idx="1">
                    <c:v>Unit 1</c:v>
                  </c:pt>
                  <c:pt idx="4">
                    <c:v>Entire Facility</c:v>
                  </c:pt>
                  <c:pt idx="5">
                    <c:v>Unit 1</c:v>
                  </c:pt>
                  <c:pt idx="8">
                    <c:v>Entire Facility</c:v>
                  </c:pt>
                  <c:pt idx="9">
                    <c:v>Unit 1</c:v>
                  </c:pt>
                  <c:pt idx="12">
                    <c:v>Entire Facility</c:v>
                  </c:pt>
                  <c:pt idx="13">
                    <c:v>Unit 1</c:v>
                  </c:pt>
                </c:lvl>
                <c:lvl>
                  <c:pt idx="0">
                    <c:v>7 am to 9:59 am</c:v>
                  </c:pt>
                  <c:pt idx="4">
                    <c:v>10 am to 11:59 am</c:v>
                  </c:pt>
                  <c:pt idx="8">
                    <c:v>12 pm to 1:29 pm</c:v>
                  </c:pt>
                  <c:pt idx="12">
                    <c:v>1:30 pm to 2:59 pm</c:v>
                  </c:pt>
                </c:lvl>
              </c:multiLvlStrCache>
            </c:multiLvlStrRef>
          </c:cat>
          <c:val>
            <c:numRef>
              <c:f>calc!$H$132:$H$147</c:f>
              <c:numCache>
                <c:formatCode>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1-A665-4A5D-94C0-E69A748808DD}"/>
            </c:ext>
          </c:extLst>
        </c:ser>
        <c:dLbls>
          <c:showLegendKey val="0"/>
          <c:showVal val="0"/>
          <c:showCatName val="0"/>
          <c:showSerName val="0"/>
          <c:showPercent val="0"/>
          <c:showBubbleSize val="0"/>
        </c:dLbls>
        <c:gapWidth val="75"/>
        <c:overlap val="-25"/>
        <c:axId val="898489215"/>
        <c:axId val="898471327"/>
        <c:extLst>
          <c:ext xmlns:c15="http://schemas.microsoft.com/office/drawing/2012/chart" uri="{02D57815-91ED-43cb-92C2-25804820EDAC}">
            <c15:filteredBarSeries>
              <c15:ser>
                <c:idx val="0"/>
                <c:order val="0"/>
                <c:tx>
                  <c:strRef>
                    <c:extLst>
                      <c:ext uri="{02D57815-91ED-43cb-92C2-25804820EDAC}">
                        <c15:formulaRef>
                          <c15:sqref>calc!$E$130:$E$131</c15:sqref>
                        </c15:formulaRef>
                      </c:ext>
                    </c:extLst>
                    <c:strCache>
                      <c:ptCount val="2"/>
                      <c:pt idx="0">
                        <c:v>June-26</c:v>
                      </c:pt>
                      <c:pt idx="1">
                        <c:v># by Time</c:v>
                      </c:pt>
                    </c:strCache>
                  </c:strRef>
                </c:tx>
                <c:spPr>
                  <a:solidFill>
                    <a:schemeClr val="accent1"/>
                  </a:solidFill>
                  <a:ln>
                    <a:noFill/>
                  </a:ln>
                  <a:effectLst/>
                </c:spPr>
                <c:invertIfNegative val="0"/>
                <c:cat>
                  <c:multiLvlStrRef>
                    <c:extLst>
                      <c:ext uri="{02D57815-91ED-43cb-92C2-25804820EDAC}">
                        <c15:formulaRef>
                          <c15:sqref>calc!$C$132:$D$147</c15:sqref>
                        </c15:formulaRef>
                      </c:ext>
                    </c:extLst>
                    <c:multiLvlStrCache>
                      <c:ptCount val="14"/>
                      <c:lvl>
                        <c:pt idx="0">
                          <c:v>Entire Facility</c:v>
                        </c:pt>
                        <c:pt idx="1">
                          <c:v>Unit 1</c:v>
                        </c:pt>
                        <c:pt idx="4">
                          <c:v>Entire Facility</c:v>
                        </c:pt>
                        <c:pt idx="5">
                          <c:v>Unit 1</c:v>
                        </c:pt>
                        <c:pt idx="8">
                          <c:v>Entire Facility</c:v>
                        </c:pt>
                        <c:pt idx="9">
                          <c:v>Unit 1</c:v>
                        </c:pt>
                        <c:pt idx="12">
                          <c:v>Entire Facility</c:v>
                        </c:pt>
                        <c:pt idx="13">
                          <c:v>Unit 1</c:v>
                        </c:pt>
                      </c:lvl>
                      <c:lvl>
                        <c:pt idx="0">
                          <c:v>7 am to 9:59 am</c:v>
                        </c:pt>
                        <c:pt idx="4">
                          <c:v>10 am to 11:59 am</c:v>
                        </c:pt>
                        <c:pt idx="8">
                          <c:v>12 pm to 1:29 pm</c:v>
                        </c:pt>
                        <c:pt idx="12">
                          <c:v>1:30 pm to 2:59 pm</c:v>
                        </c:pt>
                      </c:lvl>
                    </c:multiLvlStrCache>
                  </c:multiLvlStrRef>
                </c:cat>
                <c:val>
                  <c:numRef>
                    <c:extLst>
                      <c:ext uri="{02D57815-91ED-43cb-92C2-25804820EDAC}">
                        <c15:formulaRef>
                          <c15:sqref>calc!$E$132:$E$147</c15:sqref>
                        </c15:formulaRef>
                      </c:ext>
                    </c:extLst>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A665-4A5D-94C0-E69A748808DD}"/>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calc!$G$130:$G$131</c15:sqref>
                        </c15:formulaRef>
                      </c:ext>
                    </c:extLst>
                    <c:strCache>
                      <c:ptCount val="2"/>
                      <c:pt idx="0">
                        <c:v>YTD</c:v>
                      </c:pt>
                      <c:pt idx="1">
                        <c:v># by Time</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calc!$C$132:$D$147</c15:sqref>
                        </c15:formulaRef>
                      </c:ext>
                    </c:extLst>
                    <c:multiLvlStrCache>
                      <c:ptCount val="14"/>
                      <c:lvl>
                        <c:pt idx="0">
                          <c:v>Entire Facility</c:v>
                        </c:pt>
                        <c:pt idx="1">
                          <c:v>Unit 1</c:v>
                        </c:pt>
                        <c:pt idx="4">
                          <c:v>Entire Facility</c:v>
                        </c:pt>
                        <c:pt idx="5">
                          <c:v>Unit 1</c:v>
                        </c:pt>
                        <c:pt idx="8">
                          <c:v>Entire Facility</c:v>
                        </c:pt>
                        <c:pt idx="9">
                          <c:v>Unit 1</c:v>
                        </c:pt>
                        <c:pt idx="12">
                          <c:v>Entire Facility</c:v>
                        </c:pt>
                        <c:pt idx="13">
                          <c:v>Unit 1</c:v>
                        </c:pt>
                      </c:lvl>
                      <c:lvl>
                        <c:pt idx="0">
                          <c:v>7 am to 9:59 am</c:v>
                        </c:pt>
                        <c:pt idx="4">
                          <c:v>10 am to 11:59 am</c:v>
                        </c:pt>
                        <c:pt idx="8">
                          <c:v>12 pm to 1:29 pm</c:v>
                        </c:pt>
                        <c:pt idx="12">
                          <c:v>1:30 pm to 2:59 pm</c:v>
                        </c:pt>
                      </c:lvl>
                    </c:multiLvlStrCache>
                  </c:multiLvlStrRef>
                </c:cat>
                <c:val>
                  <c:numRef>
                    <c:extLst xmlns:c15="http://schemas.microsoft.com/office/drawing/2012/chart">
                      <c:ext xmlns:c15="http://schemas.microsoft.com/office/drawing/2012/chart" uri="{02D57815-91ED-43cb-92C2-25804820EDAC}">
                        <c15:formulaRef>
                          <c15:sqref>calc!$G$132:$G$147</c15:sqref>
                        </c15:formulaRef>
                      </c:ext>
                    </c:extLst>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xmlns:c15="http://schemas.microsoft.com/office/drawing/2012/chart">
                  <c:ext xmlns:c16="http://schemas.microsoft.com/office/drawing/2014/chart" uri="{C3380CC4-5D6E-409C-BE32-E72D297353CC}">
                    <c16:uniqueId val="{00000003-A665-4A5D-94C0-E69A748808DD}"/>
                  </c:ext>
                </c:extLst>
              </c15:ser>
            </c15:filteredBarSeries>
          </c:ext>
        </c:extLst>
      </c:barChart>
      <c:catAx>
        <c:axId val="898489215"/>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8471327"/>
        <c:crosses val="autoZero"/>
        <c:auto val="1"/>
        <c:lblAlgn val="ctr"/>
        <c:lblOffset val="100"/>
        <c:noMultiLvlLbl val="0"/>
      </c:catAx>
      <c:valAx>
        <c:axId val="898471327"/>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984892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 by Time: Evening Shift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1"/>
          <c:tx>
            <c:strRef>
              <c:f>calc!$F$149</c:f>
              <c:strCache>
                <c:ptCount val="1"/>
                <c:pt idx="0">
                  <c:v>% by Time</c:v>
                </c:pt>
              </c:strCache>
            </c:strRef>
          </c:tx>
          <c:spPr>
            <a:solidFill>
              <a:srgbClr val="D663A6"/>
            </a:solidFill>
            <a:ln>
              <a:solidFill>
                <a:srgbClr val="D663A6"/>
              </a:solidFill>
            </a:ln>
            <a:effectLst/>
          </c:spPr>
          <c:invertIfNegative val="0"/>
          <c:cat>
            <c:multiLvlStrRef>
              <c:f>calc!$C$150:$D$161</c:f>
              <c:multiLvlStrCache>
                <c:ptCount val="10"/>
                <c:lvl>
                  <c:pt idx="0">
                    <c:v>Entire Facility</c:v>
                  </c:pt>
                  <c:pt idx="1">
                    <c:v>Unit 1</c:v>
                  </c:pt>
                  <c:pt idx="4">
                    <c:v>Entire Facility</c:v>
                  </c:pt>
                  <c:pt idx="5">
                    <c:v>Unit 1</c:v>
                  </c:pt>
                  <c:pt idx="8">
                    <c:v>Entire Facility</c:v>
                  </c:pt>
                  <c:pt idx="9">
                    <c:v>Unit 1</c:v>
                  </c:pt>
                </c:lvl>
                <c:lvl>
                  <c:pt idx="0">
                    <c:v>3 pm to 4:59 pm</c:v>
                  </c:pt>
                  <c:pt idx="4">
                    <c:v>5 pm to 7:59 pm</c:v>
                  </c:pt>
                  <c:pt idx="8">
                    <c:v>8 pm to 10:59 pm</c:v>
                  </c:pt>
                </c:lvl>
              </c:multiLvlStrCache>
            </c:multiLvlStrRef>
          </c:cat>
          <c:val>
            <c:numRef>
              <c:f>calc!$F$150:$F$161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79C-48C0-8F1C-A3F22BAF9500}"/>
            </c:ext>
          </c:extLst>
        </c:ser>
        <c:ser>
          <c:idx val="3"/>
          <c:order val="3"/>
          <c:tx>
            <c:strRef>
              <c:f>calc!$H$149</c:f>
              <c:strCache>
                <c:ptCount val="1"/>
                <c:pt idx="0">
                  <c:v>% by Time</c:v>
                </c:pt>
              </c:strCache>
            </c:strRef>
          </c:tx>
          <c:spPr>
            <a:solidFill>
              <a:srgbClr val="006DB7"/>
            </a:solidFill>
            <a:ln>
              <a:solidFill>
                <a:srgbClr val="006DB7"/>
              </a:solidFill>
            </a:ln>
            <a:effectLst/>
          </c:spPr>
          <c:invertIfNegative val="0"/>
          <c:cat>
            <c:multiLvlStrRef>
              <c:f>calc!$C$150:$D$161</c:f>
              <c:multiLvlStrCache>
                <c:ptCount val="10"/>
                <c:lvl>
                  <c:pt idx="0">
                    <c:v>Entire Facility</c:v>
                  </c:pt>
                  <c:pt idx="1">
                    <c:v>Unit 1</c:v>
                  </c:pt>
                  <c:pt idx="4">
                    <c:v>Entire Facility</c:v>
                  </c:pt>
                  <c:pt idx="5">
                    <c:v>Unit 1</c:v>
                  </c:pt>
                  <c:pt idx="8">
                    <c:v>Entire Facility</c:v>
                  </c:pt>
                  <c:pt idx="9">
                    <c:v>Unit 1</c:v>
                  </c:pt>
                </c:lvl>
                <c:lvl>
                  <c:pt idx="0">
                    <c:v>3 pm to 4:59 pm</c:v>
                  </c:pt>
                  <c:pt idx="4">
                    <c:v>5 pm to 7:59 pm</c:v>
                  </c:pt>
                  <c:pt idx="8">
                    <c:v>8 pm to 10:59 pm</c:v>
                  </c:pt>
                </c:lvl>
              </c:multiLvlStrCache>
            </c:multiLvlStrRef>
          </c:cat>
          <c:val>
            <c:numRef>
              <c:f>calc!$H$150:$H$161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679C-48C0-8F1C-A3F22BAF9500}"/>
            </c:ext>
          </c:extLst>
        </c:ser>
        <c:dLbls>
          <c:showLegendKey val="0"/>
          <c:showVal val="0"/>
          <c:showCatName val="0"/>
          <c:showSerName val="0"/>
          <c:showPercent val="0"/>
          <c:showBubbleSize val="0"/>
        </c:dLbls>
        <c:gapWidth val="182"/>
        <c:axId val="671845167"/>
        <c:axId val="671840591"/>
        <c:extLst>
          <c:ext xmlns:c15="http://schemas.microsoft.com/office/drawing/2012/chart" uri="{02D57815-91ED-43cb-92C2-25804820EDAC}">
            <c15:filteredBarSeries>
              <c15:ser>
                <c:idx val="0"/>
                <c:order val="0"/>
                <c:tx>
                  <c:strRef>
                    <c:extLst>
                      <c:ext uri="{02D57815-91ED-43cb-92C2-25804820EDAC}">
                        <c15:formulaRef>
                          <c15:sqref>calc!$E$149</c15:sqref>
                        </c15:formulaRef>
                      </c:ext>
                    </c:extLst>
                    <c:strCache>
                      <c:ptCount val="1"/>
                      <c:pt idx="0">
                        <c:v># by Time</c:v>
                      </c:pt>
                    </c:strCache>
                  </c:strRef>
                </c:tx>
                <c:spPr>
                  <a:solidFill>
                    <a:schemeClr val="accent1"/>
                  </a:solidFill>
                  <a:ln>
                    <a:noFill/>
                  </a:ln>
                  <a:effectLst/>
                </c:spPr>
                <c:invertIfNegative val="0"/>
                <c:cat>
                  <c:multiLvlStrRef>
                    <c:extLst>
                      <c:ext uri="{02D57815-91ED-43cb-92C2-25804820EDAC}">
                        <c15:formulaRef>
                          <c15:sqref>calc!$C$150:$D$161</c15:sqref>
                        </c15:formulaRef>
                      </c:ext>
                    </c:extLst>
                    <c:multiLvlStrCache>
                      <c:ptCount val="10"/>
                      <c:lvl>
                        <c:pt idx="0">
                          <c:v>Entire Facility</c:v>
                        </c:pt>
                        <c:pt idx="1">
                          <c:v>Unit 1</c:v>
                        </c:pt>
                        <c:pt idx="4">
                          <c:v>Entire Facility</c:v>
                        </c:pt>
                        <c:pt idx="5">
                          <c:v>Unit 1</c:v>
                        </c:pt>
                        <c:pt idx="8">
                          <c:v>Entire Facility</c:v>
                        </c:pt>
                        <c:pt idx="9">
                          <c:v>Unit 1</c:v>
                        </c:pt>
                      </c:lvl>
                      <c:lvl>
                        <c:pt idx="0">
                          <c:v>3 pm to 4:59 pm</c:v>
                        </c:pt>
                        <c:pt idx="4">
                          <c:v>5 pm to 7:59 pm</c:v>
                        </c:pt>
                        <c:pt idx="8">
                          <c:v>8 pm to 10:59 pm</c:v>
                        </c:pt>
                      </c:lvl>
                    </c:multiLvlStrCache>
                  </c:multiLvlStrRef>
                </c:cat>
                <c:val>
                  <c:numRef>
                    <c:extLst>
                      <c:ext uri="{02D57815-91ED-43cb-92C2-25804820EDAC}">
                        <c15:formulaRef>
                          <c15:sqref>calc!$E$150:$E$161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679C-48C0-8F1C-A3F22BAF9500}"/>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calc!$G$149</c15:sqref>
                        </c15:formulaRef>
                      </c:ext>
                    </c:extLst>
                    <c:strCache>
                      <c:ptCount val="1"/>
                      <c:pt idx="0">
                        <c:v># by Time</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calc!$C$150:$D$161</c15:sqref>
                        </c15:formulaRef>
                      </c:ext>
                    </c:extLst>
                    <c:multiLvlStrCache>
                      <c:ptCount val="10"/>
                      <c:lvl>
                        <c:pt idx="0">
                          <c:v>Entire Facility</c:v>
                        </c:pt>
                        <c:pt idx="1">
                          <c:v>Unit 1</c:v>
                        </c:pt>
                        <c:pt idx="4">
                          <c:v>Entire Facility</c:v>
                        </c:pt>
                        <c:pt idx="5">
                          <c:v>Unit 1</c:v>
                        </c:pt>
                        <c:pt idx="8">
                          <c:v>Entire Facility</c:v>
                        </c:pt>
                        <c:pt idx="9">
                          <c:v>Unit 1</c:v>
                        </c:pt>
                      </c:lvl>
                      <c:lvl>
                        <c:pt idx="0">
                          <c:v>3 pm to 4:59 pm</c:v>
                        </c:pt>
                        <c:pt idx="4">
                          <c:v>5 pm to 7:59 pm</c:v>
                        </c:pt>
                        <c:pt idx="8">
                          <c:v>8 pm to 10:59 pm</c:v>
                        </c:pt>
                      </c:lvl>
                    </c:multiLvlStrCache>
                  </c:multiLvlStrRef>
                </c:cat>
                <c:val>
                  <c:numRef>
                    <c:extLst xmlns:c15="http://schemas.microsoft.com/office/drawing/2012/chart">
                      <c:ext xmlns:c15="http://schemas.microsoft.com/office/drawing/2012/chart" uri="{02D57815-91ED-43cb-92C2-25804820EDAC}">
                        <c15:formulaRef>
                          <c15:sqref>calc!$G$150:$G$161</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679C-48C0-8F1C-A3F22BAF9500}"/>
                  </c:ext>
                </c:extLst>
              </c15:ser>
            </c15:filteredBarSeries>
          </c:ext>
        </c:extLst>
      </c:barChart>
      <c:catAx>
        <c:axId val="671845167"/>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840591"/>
        <c:crosses val="autoZero"/>
        <c:auto val="1"/>
        <c:lblAlgn val="ctr"/>
        <c:lblOffset val="100"/>
        <c:noMultiLvlLbl val="0"/>
      </c:catAx>
      <c:valAx>
        <c:axId val="671840591"/>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84516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 by Time: Night Shift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1"/>
          <c:tx>
            <c:strRef>
              <c:f>calc!$F$163</c:f>
              <c:strCache>
                <c:ptCount val="1"/>
                <c:pt idx="0">
                  <c:v>% by Time</c:v>
                </c:pt>
              </c:strCache>
            </c:strRef>
          </c:tx>
          <c:spPr>
            <a:solidFill>
              <a:srgbClr val="D663A6"/>
            </a:solidFill>
            <a:ln>
              <a:solidFill>
                <a:srgbClr val="D663A6"/>
              </a:solidFill>
            </a:ln>
            <a:effectLst/>
          </c:spPr>
          <c:invertIfNegative val="0"/>
          <c:cat>
            <c:multiLvlStrRef>
              <c:f>calc!$C$164:$D$175</c:f>
              <c:multiLvlStrCache>
                <c:ptCount val="10"/>
                <c:lvl>
                  <c:pt idx="0">
                    <c:v>Entire Facility</c:v>
                  </c:pt>
                  <c:pt idx="1">
                    <c:v>Unit 1</c:v>
                  </c:pt>
                  <c:pt idx="4">
                    <c:v>Entire Facility</c:v>
                  </c:pt>
                  <c:pt idx="5">
                    <c:v>Unit 1</c:v>
                  </c:pt>
                  <c:pt idx="8">
                    <c:v>Entire Facility</c:v>
                  </c:pt>
                  <c:pt idx="9">
                    <c:v>Unit 1</c:v>
                  </c:pt>
                </c:lvl>
                <c:lvl>
                  <c:pt idx="0">
                    <c:v>11 pm to 12:59 am</c:v>
                  </c:pt>
                  <c:pt idx="4">
                    <c:v>1 am to 4:59 am</c:v>
                  </c:pt>
                  <c:pt idx="8">
                    <c:v>5 am to 6:59 am</c:v>
                  </c:pt>
                </c:lvl>
              </c:multiLvlStrCache>
            </c:multiLvlStrRef>
          </c:cat>
          <c:val>
            <c:numRef>
              <c:f>calc!$F$164:$F$175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6CDF-4D32-89DD-C13EF6A8D225}"/>
            </c:ext>
          </c:extLst>
        </c:ser>
        <c:ser>
          <c:idx val="3"/>
          <c:order val="3"/>
          <c:tx>
            <c:strRef>
              <c:f>calc!$H$163</c:f>
              <c:strCache>
                <c:ptCount val="1"/>
                <c:pt idx="0">
                  <c:v>% by Time</c:v>
                </c:pt>
              </c:strCache>
            </c:strRef>
          </c:tx>
          <c:spPr>
            <a:solidFill>
              <a:srgbClr val="006DB7"/>
            </a:solidFill>
            <a:ln>
              <a:solidFill>
                <a:srgbClr val="006DB7"/>
              </a:solidFill>
            </a:ln>
            <a:effectLst/>
          </c:spPr>
          <c:invertIfNegative val="0"/>
          <c:cat>
            <c:multiLvlStrRef>
              <c:f>calc!$C$164:$D$175</c:f>
              <c:multiLvlStrCache>
                <c:ptCount val="10"/>
                <c:lvl>
                  <c:pt idx="0">
                    <c:v>Entire Facility</c:v>
                  </c:pt>
                  <c:pt idx="1">
                    <c:v>Unit 1</c:v>
                  </c:pt>
                  <c:pt idx="4">
                    <c:v>Entire Facility</c:v>
                  </c:pt>
                  <c:pt idx="5">
                    <c:v>Unit 1</c:v>
                  </c:pt>
                  <c:pt idx="8">
                    <c:v>Entire Facility</c:v>
                  </c:pt>
                  <c:pt idx="9">
                    <c:v>Unit 1</c:v>
                  </c:pt>
                </c:lvl>
                <c:lvl>
                  <c:pt idx="0">
                    <c:v>11 pm to 12:59 am</c:v>
                  </c:pt>
                  <c:pt idx="4">
                    <c:v>1 am to 4:59 am</c:v>
                  </c:pt>
                  <c:pt idx="8">
                    <c:v>5 am to 6:59 am</c:v>
                  </c:pt>
                </c:lvl>
              </c:multiLvlStrCache>
            </c:multiLvlStrRef>
          </c:cat>
          <c:val>
            <c:numRef>
              <c:f>calc!$H$164:$H$175</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6CDF-4D32-89DD-C13EF6A8D225}"/>
            </c:ext>
          </c:extLst>
        </c:ser>
        <c:dLbls>
          <c:showLegendKey val="0"/>
          <c:showVal val="0"/>
          <c:showCatName val="0"/>
          <c:showSerName val="0"/>
          <c:showPercent val="0"/>
          <c:showBubbleSize val="0"/>
        </c:dLbls>
        <c:gapWidth val="182"/>
        <c:axId val="845411583"/>
        <c:axId val="845410335"/>
        <c:extLst>
          <c:ext xmlns:c15="http://schemas.microsoft.com/office/drawing/2012/chart" uri="{02D57815-91ED-43cb-92C2-25804820EDAC}">
            <c15:filteredBarSeries>
              <c15:ser>
                <c:idx val="0"/>
                <c:order val="0"/>
                <c:tx>
                  <c:strRef>
                    <c:extLst>
                      <c:ext uri="{02D57815-91ED-43cb-92C2-25804820EDAC}">
                        <c15:formulaRef>
                          <c15:sqref>calc!$E$163</c15:sqref>
                        </c15:formulaRef>
                      </c:ext>
                    </c:extLst>
                    <c:strCache>
                      <c:ptCount val="1"/>
                      <c:pt idx="0">
                        <c:v># by Time</c:v>
                      </c:pt>
                    </c:strCache>
                  </c:strRef>
                </c:tx>
                <c:spPr>
                  <a:solidFill>
                    <a:schemeClr val="accent1"/>
                  </a:solidFill>
                  <a:ln>
                    <a:noFill/>
                  </a:ln>
                  <a:effectLst/>
                </c:spPr>
                <c:invertIfNegative val="0"/>
                <c:cat>
                  <c:multiLvlStrRef>
                    <c:extLst>
                      <c:ext uri="{02D57815-91ED-43cb-92C2-25804820EDAC}">
                        <c15:formulaRef>
                          <c15:sqref>calc!$C$164:$D$175</c15:sqref>
                        </c15:formulaRef>
                      </c:ext>
                    </c:extLst>
                    <c:multiLvlStrCache>
                      <c:ptCount val="10"/>
                      <c:lvl>
                        <c:pt idx="0">
                          <c:v>Entire Facility</c:v>
                        </c:pt>
                        <c:pt idx="1">
                          <c:v>Unit 1</c:v>
                        </c:pt>
                        <c:pt idx="4">
                          <c:v>Entire Facility</c:v>
                        </c:pt>
                        <c:pt idx="5">
                          <c:v>Unit 1</c:v>
                        </c:pt>
                        <c:pt idx="8">
                          <c:v>Entire Facility</c:v>
                        </c:pt>
                        <c:pt idx="9">
                          <c:v>Unit 1</c:v>
                        </c:pt>
                      </c:lvl>
                      <c:lvl>
                        <c:pt idx="0">
                          <c:v>11 pm to 12:59 am</c:v>
                        </c:pt>
                        <c:pt idx="4">
                          <c:v>1 am to 4:59 am</c:v>
                        </c:pt>
                        <c:pt idx="8">
                          <c:v>5 am to 6:59 am</c:v>
                        </c:pt>
                      </c:lvl>
                    </c:multiLvlStrCache>
                  </c:multiLvlStrRef>
                </c:cat>
                <c:val>
                  <c:numRef>
                    <c:extLst>
                      <c:ext uri="{02D57815-91ED-43cb-92C2-25804820EDAC}">
                        <c15:formulaRef>
                          <c15:sqref>calc!$E$164:$E$175</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6CDF-4D32-89DD-C13EF6A8D225}"/>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calc!$G$163</c15:sqref>
                        </c15:formulaRef>
                      </c:ext>
                    </c:extLst>
                    <c:strCache>
                      <c:ptCount val="1"/>
                      <c:pt idx="0">
                        <c:v># by Time</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calc!$C$164:$D$175</c15:sqref>
                        </c15:formulaRef>
                      </c:ext>
                    </c:extLst>
                    <c:multiLvlStrCache>
                      <c:ptCount val="10"/>
                      <c:lvl>
                        <c:pt idx="0">
                          <c:v>Entire Facility</c:v>
                        </c:pt>
                        <c:pt idx="1">
                          <c:v>Unit 1</c:v>
                        </c:pt>
                        <c:pt idx="4">
                          <c:v>Entire Facility</c:v>
                        </c:pt>
                        <c:pt idx="5">
                          <c:v>Unit 1</c:v>
                        </c:pt>
                        <c:pt idx="8">
                          <c:v>Entire Facility</c:v>
                        </c:pt>
                        <c:pt idx="9">
                          <c:v>Unit 1</c:v>
                        </c:pt>
                      </c:lvl>
                      <c:lvl>
                        <c:pt idx="0">
                          <c:v>11 pm to 12:59 am</c:v>
                        </c:pt>
                        <c:pt idx="4">
                          <c:v>1 am to 4:59 am</c:v>
                        </c:pt>
                        <c:pt idx="8">
                          <c:v>5 am to 6:59 am</c:v>
                        </c:pt>
                      </c:lvl>
                    </c:multiLvlStrCache>
                  </c:multiLvlStrRef>
                </c:cat>
                <c:val>
                  <c:numRef>
                    <c:extLst xmlns:c15="http://schemas.microsoft.com/office/drawing/2012/chart">
                      <c:ext xmlns:c15="http://schemas.microsoft.com/office/drawing/2012/chart" uri="{02D57815-91ED-43cb-92C2-25804820EDAC}">
                        <c15:formulaRef>
                          <c15:sqref>calc!$G$164:$G$175</c15:sqref>
                        </c15:formulaRef>
                      </c:ext>
                    </c:extLst>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xmlns:c15="http://schemas.microsoft.com/office/drawing/2012/chart">
                  <c:ext xmlns:c16="http://schemas.microsoft.com/office/drawing/2014/chart" uri="{C3380CC4-5D6E-409C-BE32-E72D297353CC}">
                    <c16:uniqueId val="{00000003-6CDF-4D32-89DD-C13EF6A8D225}"/>
                  </c:ext>
                </c:extLst>
              </c15:ser>
            </c15:filteredBarSeries>
          </c:ext>
        </c:extLst>
      </c:barChart>
      <c:catAx>
        <c:axId val="845411583"/>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5410335"/>
        <c:crosses val="autoZero"/>
        <c:auto val="1"/>
        <c:lblAlgn val="ctr"/>
        <c:lblOffset val="100"/>
        <c:noMultiLvlLbl val="0"/>
      </c:catAx>
      <c:valAx>
        <c:axId val="845410335"/>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5411583"/>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Falls by Location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1"/>
          <c:order val="1"/>
          <c:tx>
            <c:strRef>
              <c:f>calc!$F$179:$F$180</c:f>
              <c:strCache>
                <c:ptCount val="2"/>
                <c:pt idx="0">
                  <c:v>June-26</c:v>
                </c:pt>
                <c:pt idx="1">
                  <c:v>%Falls by Location</c:v>
                </c:pt>
              </c:strCache>
            </c:strRef>
          </c:tx>
          <c:spPr>
            <a:solidFill>
              <a:srgbClr val="D663A6"/>
            </a:solidFill>
            <a:ln>
              <a:solidFill>
                <a:srgbClr val="D663A6"/>
              </a:solidFill>
            </a:ln>
            <a:effectLst/>
          </c:spPr>
          <c:invertIfNegative val="0"/>
          <c:cat>
            <c:multiLvlStrRef>
              <c:extLst>
                <c:ext xmlns:c15="http://schemas.microsoft.com/office/drawing/2012/chart" uri="{02D57815-91ED-43cb-92C2-25804820EDAC}">
                  <c15:fullRef>
                    <c15:sqref>calc!$C$181:$D$224</c15:sqref>
                  </c15:fullRef>
                </c:ext>
              </c:extLst>
              <c:f>(calc!$C$181:$D$182,calc!$C$185:$D$186,calc!$C$189:$D$190,calc!$C$193:$D$194,calc!$C$197:$D$198,calc!$C$201:$D$202,calc!$C$205:$D$206,calc!$C$209:$D$210,calc!$C$213:$D$214,calc!$C$217:$D$218,calc!$C$221:$D$222)</c:f>
              <c:multiLvlStrCache>
                <c:ptCount val="22"/>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pt idx="16">
                    <c:v>Entire Facility</c:v>
                  </c:pt>
                  <c:pt idx="17">
                    <c:v>Unit 1</c:v>
                  </c:pt>
                  <c:pt idx="18">
                    <c:v>Entire Facility</c:v>
                  </c:pt>
                  <c:pt idx="19">
                    <c:v>Unit 1</c:v>
                  </c:pt>
                  <c:pt idx="20">
                    <c:v>Entire Facility</c:v>
                  </c:pt>
                  <c:pt idx="21">
                    <c:v>Unit 1</c:v>
                  </c:pt>
                </c:lvl>
                <c:lvl>
                  <c:pt idx="0">
                    <c:v>In Room</c:v>
                  </c:pt>
                  <c:pt idx="2">
                    <c:v>Bathroom</c:v>
                  </c:pt>
                  <c:pt idx="4">
                    <c:v>Hallway</c:v>
                  </c:pt>
                  <c:pt idx="6">
                    <c:v>Dining Room</c:v>
                  </c:pt>
                  <c:pt idx="8">
                    <c:v>Activities</c:v>
                  </c:pt>
                  <c:pt idx="10">
                    <c:v>Therapy</c:v>
                  </c:pt>
                  <c:pt idx="12">
                    <c:v>Beauty/Barber</c:v>
                  </c:pt>
                  <c:pt idx="14">
                    <c:v>Shower/Tub</c:v>
                  </c:pt>
                  <c:pt idx="16">
                    <c:v>Nursing Station</c:v>
                  </c:pt>
                  <c:pt idx="18">
                    <c:v>Out of Facility</c:v>
                  </c:pt>
                  <c:pt idx="20">
                    <c:v>Other</c:v>
                  </c:pt>
                </c:lvl>
              </c:multiLvlStrCache>
            </c:multiLvlStrRef>
          </c:cat>
          <c:val>
            <c:numRef>
              <c:extLst>
                <c:ext xmlns:c15="http://schemas.microsoft.com/office/drawing/2012/chart" uri="{02D57815-91ED-43cb-92C2-25804820EDAC}">
                  <c15:fullRef>
                    <c15:sqref>calc!$F$181:$F$224</c15:sqref>
                  </c15:fullRef>
                </c:ext>
              </c:extLst>
              <c:f>(calc!$F$181:$F$182,calc!$F$185:$F$186,calc!$F$189:$F$190,calc!$F$193:$F$194,calc!$F$197:$F$198,calc!$F$201:$F$202,calc!$F$205:$F$206,calc!$F$209:$F$210,calc!$F$213:$F$214,calc!$F$217:$F$218,calc!$F$221:$F$222)</c:f>
              <c:numCache>
                <c:formatCode>0%</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0-872D-4777-9C5F-A6E5D3AA7799}"/>
            </c:ext>
          </c:extLst>
        </c:ser>
        <c:ser>
          <c:idx val="3"/>
          <c:order val="3"/>
          <c:tx>
            <c:strRef>
              <c:f>calc!$H$179:$H$180</c:f>
              <c:strCache>
                <c:ptCount val="2"/>
                <c:pt idx="0">
                  <c:v>YTD</c:v>
                </c:pt>
                <c:pt idx="1">
                  <c:v>%Falls by Location</c:v>
                </c:pt>
              </c:strCache>
            </c:strRef>
          </c:tx>
          <c:spPr>
            <a:solidFill>
              <a:srgbClr val="006DB7"/>
            </a:solidFill>
            <a:ln>
              <a:solidFill>
                <a:srgbClr val="006DB7"/>
              </a:solidFill>
            </a:ln>
            <a:effectLst/>
          </c:spPr>
          <c:invertIfNegative val="0"/>
          <c:cat>
            <c:multiLvlStrRef>
              <c:extLst>
                <c:ext xmlns:c15="http://schemas.microsoft.com/office/drawing/2012/chart" uri="{02D57815-91ED-43cb-92C2-25804820EDAC}">
                  <c15:fullRef>
                    <c15:sqref>calc!$C$181:$D$224</c15:sqref>
                  </c15:fullRef>
                </c:ext>
              </c:extLst>
              <c:f>(calc!$C$181:$D$182,calc!$C$185:$D$186,calc!$C$189:$D$190,calc!$C$193:$D$194,calc!$C$197:$D$198,calc!$C$201:$D$202,calc!$C$205:$D$206,calc!$C$209:$D$210,calc!$C$213:$D$214,calc!$C$217:$D$218,calc!$C$221:$D$222)</c:f>
              <c:multiLvlStrCache>
                <c:ptCount val="22"/>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pt idx="16">
                    <c:v>Entire Facility</c:v>
                  </c:pt>
                  <c:pt idx="17">
                    <c:v>Unit 1</c:v>
                  </c:pt>
                  <c:pt idx="18">
                    <c:v>Entire Facility</c:v>
                  </c:pt>
                  <c:pt idx="19">
                    <c:v>Unit 1</c:v>
                  </c:pt>
                  <c:pt idx="20">
                    <c:v>Entire Facility</c:v>
                  </c:pt>
                  <c:pt idx="21">
                    <c:v>Unit 1</c:v>
                  </c:pt>
                </c:lvl>
                <c:lvl>
                  <c:pt idx="0">
                    <c:v>In Room</c:v>
                  </c:pt>
                  <c:pt idx="2">
                    <c:v>Bathroom</c:v>
                  </c:pt>
                  <c:pt idx="4">
                    <c:v>Hallway</c:v>
                  </c:pt>
                  <c:pt idx="6">
                    <c:v>Dining Room</c:v>
                  </c:pt>
                  <c:pt idx="8">
                    <c:v>Activities</c:v>
                  </c:pt>
                  <c:pt idx="10">
                    <c:v>Therapy</c:v>
                  </c:pt>
                  <c:pt idx="12">
                    <c:v>Beauty/Barber</c:v>
                  </c:pt>
                  <c:pt idx="14">
                    <c:v>Shower/Tub</c:v>
                  </c:pt>
                  <c:pt idx="16">
                    <c:v>Nursing Station</c:v>
                  </c:pt>
                  <c:pt idx="18">
                    <c:v>Out of Facility</c:v>
                  </c:pt>
                  <c:pt idx="20">
                    <c:v>Other</c:v>
                  </c:pt>
                </c:lvl>
              </c:multiLvlStrCache>
            </c:multiLvlStrRef>
          </c:cat>
          <c:val>
            <c:numRef>
              <c:extLst>
                <c:ext xmlns:c15="http://schemas.microsoft.com/office/drawing/2012/chart" uri="{02D57815-91ED-43cb-92C2-25804820EDAC}">
                  <c15:fullRef>
                    <c15:sqref>calc!$H$181:$H$224</c15:sqref>
                  </c15:fullRef>
                </c:ext>
              </c:extLst>
              <c:f>(calc!$H$181:$H$182,calc!$H$185:$H$186,calc!$H$189:$H$190,calc!$H$193:$H$194,calc!$H$197:$H$198,calc!$H$201:$H$202,calc!$H$205:$H$206,calc!$H$209:$H$210,calc!$H$213:$H$214,calc!$H$217:$H$218,calc!$H$221:$H$222)</c:f>
              <c:numCache>
                <c:formatCode>0%</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1-872D-4777-9C5F-A6E5D3AA7799}"/>
            </c:ext>
          </c:extLst>
        </c:ser>
        <c:dLbls>
          <c:showLegendKey val="0"/>
          <c:showVal val="0"/>
          <c:showCatName val="0"/>
          <c:showSerName val="0"/>
          <c:showPercent val="0"/>
          <c:showBubbleSize val="0"/>
        </c:dLbls>
        <c:gapWidth val="219"/>
        <c:axId val="733288031"/>
        <c:axId val="733291775"/>
        <c:extLst>
          <c:ext xmlns:c15="http://schemas.microsoft.com/office/drawing/2012/chart" uri="{02D57815-91ED-43cb-92C2-25804820EDAC}">
            <c15:filteredBarSeries>
              <c15:ser>
                <c:idx val="0"/>
                <c:order val="0"/>
                <c:tx>
                  <c:strRef>
                    <c:extLst>
                      <c:ext uri="{02D57815-91ED-43cb-92C2-25804820EDAC}">
                        <c15:formulaRef>
                          <c15:sqref>calc!$E$179:$E$180</c15:sqref>
                        </c15:formulaRef>
                      </c:ext>
                    </c:extLst>
                    <c:strCache>
                      <c:ptCount val="2"/>
                      <c:pt idx="0">
                        <c:v>June-26</c:v>
                      </c:pt>
                      <c:pt idx="1">
                        <c:v>#Falls by Location</c:v>
                      </c:pt>
                    </c:strCache>
                  </c:strRef>
                </c:tx>
                <c:spPr>
                  <a:solidFill>
                    <a:schemeClr val="accent1"/>
                  </a:solidFill>
                  <a:ln>
                    <a:noFill/>
                  </a:ln>
                  <a:effectLst/>
                </c:spPr>
                <c:invertIfNegative val="0"/>
                <c:cat>
                  <c:multiLvlStrRef>
                    <c:extLst>
                      <c:ext uri="{02D57815-91ED-43cb-92C2-25804820EDAC}">
                        <c15:fullRef>
                          <c15:sqref>calc!$C$181:$D$224</c15:sqref>
                        </c15:fullRef>
                        <c15:formulaRef>
                          <c15:sqref>(calc!$C$181:$D$182,calc!$C$185:$D$186,calc!$C$189:$D$190,calc!$C$193:$D$194,calc!$C$197:$D$198,calc!$C$201:$D$202,calc!$C$205:$D$206,calc!$C$209:$D$210,calc!$C$213:$D$214,calc!$C$217:$D$218,calc!$C$221:$D$222)</c15:sqref>
                        </c15:formulaRef>
                      </c:ext>
                    </c:extLst>
                    <c:multiLvlStrCache>
                      <c:ptCount val="22"/>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pt idx="16">
                          <c:v>Entire Facility</c:v>
                        </c:pt>
                        <c:pt idx="17">
                          <c:v>Unit 1</c:v>
                        </c:pt>
                        <c:pt idx="18">
                          <c:v>Entire Facility</c:v>
                        </c:pt>
                        <c:pt idx="19">
                          <c:v>Unit 1</c:v>
                        </c:pt>
                        <c:pt idx="20">
                          <c:v>Entire Facility</c:v>
                        </c:pt>
                        <c:pt idx="21">
                          <c:v>Unit 1</c:v>
                        </c:pt>
                      </c:lvl>
                      <c:lvl>
                        <c:pt idx="0">
                          <c:v>In Room</c:v>
                        </c:pt>
                        <c:pt idx="2">
                          <c:v>Bathroom</c:v>
                        </c:pt>
                        <c:pt idx="4">
                          <c:v>Hallway</c:v>
                        </c:pt>
                        <c:pt idx="6">
                          <c:v>Dining Room</c:v>
                        </c:pt>
                        <c:pt idx="8">
                          <c:v>Activities</c:v>
                        </c:pt>
                        <c:pt idx="10">
                          <c:v>Therapy</c:v>
                        </c:pt>
                        <c:pt idx="12">
                          <c:v>Beauty/Barber</c:v>
                        </c:pt>
                        <c:pt idx="14">
                          <c:v>Shower/Tub</c:v>
                        </c:pt>
                        <c:pt idx="16">
                          <c:v>Nursing Station</c:v>
                        </c:pt>
                        <c:pt idx="18">
                          <c:v>Out of Facility</c:v>
                        </c:pt>
                        <c:pt idx="20">
                          <c:v>Other</c:v>
                        </c:pt>
                      </c:lvl>
                    </c:multiLvlStrCache>
                  </c:multiLvlStrRef>
                </c:cat>
                <c:val>
                  <c:numRef>
                    <c:extLst>
                      <c:ext uri="{02D57815-91ED-43cb-92C2-25804820EDAC}">
                        <c15:fullRef>
                          <c15:sqref>calc!$E$181:$E$224</c15:sqref>
                        </c15:fullRef>
                        <c15:formulaRef>
                          <c15:sqref>(calc!$E$181:$E$182,calc!$E$185:$E$186,calc!$E$189:$E$190,calc!$E$193:$E$194,calc!$E$197:$E$198,calc!$E$201:$E$202,calc!$E$205:$E$206,calc!$E$209:$E$210,calc!$E$213:$E$214,calc!$E$217:$E$218,calc!$E$221:$E$222)</c15:sqref>
                        </c15:formulaRef>
                      </c:ext>
                    </c:extLst>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2-872D-4777-9C5F-A6E5D3AA7799}"/>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calc!$G$179:$G$180</c15:sqref>
                        </c15:formulaRef>
                      </c:ext>
                    </c:extLst>
                    <c:strCache>
                      <c:ptCount val="2"/>
                      <c:pt idx="0">
                        <c:v>YTD</c:v>
                      </c:pt>
                      <c:pt idx="1">
                        <c:v>#Falls by Location</c:v>
                      </c:pt>
                    </c:strCache>
                  </c:strRef>
                </c:tx>
                <c:spPr>
                  <a:solidFill>
                    <a:schemeClr val="accent3"/>
                  </a:solidFill>
                  <a:ln>
                    <a:noFill/>
                  </a:ln>
                  <a:effectLst/>
                </c:spPr>
                <c:invertIfNegative val="0"/>
                <c:cat>
                  <c:multiLvlStrRef>
                    <c:extLst>
                      <c:ext xmlns:c15="http://schemas.microsoft.com/office/drawing/2012/chart" uri="{02D57815-91ED-43cb-92C2-25804820EDAC}">
                        <c15:fullRef>
                          <c15:sqref>calc!$C$181:$D$224</c15:sqref>
                        </c15:fullRef>
                        <c15:formulaRef>
                          <c15:sqref>(calc!$C$181:$D$182,calc!$C$185:$D$186,calc!$C$189:$D$190,calc!$C$193:$D$194,calc!$C$197:$D$198,calc!$C$201:$D$202,calc!$C$205:$D$206,calc!$C$209:$D$210,calc!$C$213:$D$214,calc!$C$217:$D$218,calc!$C$221:$D$222)</c15:sqref>
                        </c15:formulaRef>
                      </c:ext>
                    </c:extLst>
                    <c:multiLvlStrCache>
                      <c:ptCount val="22"/>
                      <c:lvl>
                        <c:pt idx="0">
                          <c:v>Entire Facility</c:v>
                        </c:pt>
                        <c:pt idx="1">
                          <c:v>Unit 1</c:v>
                        </c:pt>
                        <c:pt idx="2">
                          <c:v>Entire Facility</c:v>
                        </c:pt>
                        <c:pt idx="3">
                          <c:v>Unit 1</c:v>
                        </c:pt>
                        <c:pt idx="4">
                          <c:v>Entire Facility</c:v>
                        </c:pt>
                        <c:pt idx="5">
                          <c:v>Unit 1</c:v>
                        </c:pt>
                        <c:pt idx="6">
                          <c:v>Entire Facility</c:v>
                        </c:pt>
                        <c:pt idx="7">
                          <c:v>Unit 1</c:v>
                        </c:pt>
                        <c:pt idx="8">
                          <c:v>Entire Facility</c:v>
                        </c:pt>
                        <c:pt idx="9">
                          <c:v>Unit 1</c:v>
                        </c:pt>
                        <c:pt idx="10">
                          <c:v>Entire Facility</c:v>
                        </c:pt>
                        <c:pt idx="11">
                          <c:v>Unit 1</c:v>
                        </c:pt>
                        <c:pt idx="12">
                          <c:v>Entire Facility</c:v>
                        </c:pt>
                        <c:pt idx="13">
                          <c:v>Unit 1</c:v>
                        </c:pt>
                        <c:pt idx="14">
                          <c:v>Entire Facility</c:v>
                        </c:pt>
                        <c:pt idx="15">
                          <c:v>Unit 1</c:v>
                        </c:pt>
                        <c:pt idx="16">
                          <c:v>Entire Facility</c:v>
                        </c:pt>
                        <c:pt idx="17">
                          <c:v>Unit 1</c:v>
                        </c:pt>
                        <c:pt idx="18">
                          <c:v>Entire Facility</c:v>
                        </c:pt>
                        <c:pt idx="19">
                          <c:v>Unit 1</c:v>
                        </c:pt>
                        <c:pt idx="20">
                          <c:v>Entire Facility</c:v>
                        </c:pt>
                        <c:pt idx="21">
                          <c:v>Unit 1</c:v>
                        </c:pt>
                      </c:lvl>
                      <c:lvl>
                        <c:pt idx="0">
                          <c:v>In Room</c:v>
                        </c:pt>
                        <c:pt idx="2">
                          <c:v>Bathroom</c:v>
                        </c:pt>
                        <c:pt idx="4">
                          <c:v>Hallway</c:v>
                        </c:pt>
                        <c:pt idx="6">
                          <c:v>Dining Room</c:v>
                        </c:pt>
                        <c:pt idx="8">
                          <c:v>Activities</c:v>
                        </c:pt>
                        <c:pt idx="10">
                          <c:v>Therapy</c:v>
                        </c:pt>
                        <c:pt idx="12">
                          <c:v>Beauty/Barber</c:v>
                        </c:pt>
                        <c:pt idx="14">
                          <c:v>Shower/Tub</c:v>
                        </c:pt>
                        <c:pt idx="16">
                          <c:v>Nursing Station</c:v>
                        </c:pt>
                        <c:pt idx="18">
                          <c:v>Out of Facility</c:v>
                        </c:pt>
                        <c:pt idx="20">
                          <c:v>Other</c:v>
                        </c:pt>
                      </c:lvl>
                    </c:multiLvlStrCache>
                  </c:multiLvlStrRef>
                </c:cat>
                <c:val>
                  <c:numRef>
                    <c:extLst>
                      <c:ext xmlns:c15="http://schemas.microsoft.com/office/drawing/2012/chart" uri="{02D57815-91ED-43cb-92C2-25804820EDAC}">
                        <c15:fullRef>
                          <c15:sqref>calc!$G$181:$G$224</c15:sqref>
                        </c15:fullRef>
                        <c15:formulaRef>
                          <c15:sqref>(calc!$G$181:$G$182,calc!$G$185:$G$186,calc!$G$189:$G$190,calc!$G$193:$G$194,calc!$G$197:$G$198,calc!$G$201:$G$202,calc!$G$205:$G$206,calc!$G$209:$G$210,calc!$G$213:$G$214,calc!$G$217:$G$218,calc!$G$221:$G$222)</c15:sqref>
                        </c15:formulaRef>
                      </c:ext>
                    </c:extLst>
                    <c:numCache>
                      <c:formatCode>General</c:formatCode>
                      <c:ptCount val="2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xmlns:c15="http://schemas.microsoft.com/office/drawing/2012/chart">
                  <c:ext xmlns:c16="http://schemas.microsoft.com/office/drawing/2014/chart" uri="{C3380CC4-5D6E-409C-BE32-E72D297353CC}">
                    <c16:uniqueId val="{00000003-872D-4777-9C5F-A6E5D3AA7799}"/>
                  </c:ext>
                </c:extLst>
              </c15:ser>
            </c15:filteredBarSeries>
          </c:ext>
        </c:extLst>
      </c:barChart>
      <c:catAx>
        <c:axId val="733288031"/>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3291775"/>
        <c:crosses val="autoZero"/>
        <c:auto val="1"/>
        <c:lblAlgn val="ctr"/>
        <c:lblOffset val="100"/>
        <c:noMultiLvlLbl val="0"/>
      </c:catAx>
      <c:valAx>
        <c:axId val="733291775"/>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3288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%Falls by Prior Activity</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strRef>
              <c:f>calc!$F$227:$F$228</c:f>
              <c:strCache>
                <c:ptCount val="2"/>
                <c:pt idx="0">
                  <c:v>June-26</c:v>
                </c:pt>
                <c:pt idx="1">
                  <c:v>%Falls by Prior Activity</c:v>
                </c:pt>
              </c:strCache>
            </c:strRef>
          </c:tx>
          <c:spPr>
            <a:solidFill>
              <a:srgbClr val="D663A6"/>
            </a:solidFill>
            <a:ln>
              <a:solidFill>
                <a:srgbClr val="D663A6"/>
              </a:solidFill>
            </a:ln>
            <a:effectLst/>
          </c:spPr>
          <c:invertIfNegative val="0"/>
          <c:cat>
            <c:multiLvlStrRef>
              <c:f>calc!$C$229:$D$248</c:f>
              <c:multiLvlStrCache>
                <c:ptCount val="18"/>
                <c:lvl>
                  <c:pt idx="0">
                    <c:v>Entire Facility</c:v>
                  </c:pt>
                  <c:pt idx="1">
                    <c:v>Unit 1</c:v>
                  </c:pt>
                  <c:pt idx="4">
                    <c:v>Entire Facility</c:v>
                  </c:pt>
                  <c:pt idx="5">
                    <c:v>Unit 1</c:v>
                  </c:pt>
                  <c:pt idx="8">
                    <c:v>Entire Facility</c:v>
                  </c:pt>
                  <c:pt idx="9">
                    <c:v>Unit 1</c:v>
                  </c:pt>
                  <c:pt idx="12">
                    <c:v>Entire Facility</c:v>
                  </c:pt>
                  <c:pt idx="13">
                    <c:v>Unit 1</c:v>
                  </c:pt>
                  <c:pt idx="16">
                    <c:v>Entire Facility</c:v>
                  </c:pt>
                  <c:pt idx="17">
                    <c:v>Unit 1</c:v>
                  </c:pt>
                </c:lvl>
                <c:lvl>
                  <c:pt idx="0">
                    <c:v>Walking</c:v>
                  </c:pt>
                  <c:pt idx="4">
                    <c:v>Transfer</c:v>
                  </c:pt>
                  <c:pt idx="8">
                    <c:v>Bed</c:v>
                  </c:pt>
                  <c:pt idx="12">
                    <c:v>Chair</c:v>
                  </c:pt>
                  <c:pt idx="16">
                    <c:v>Toileting w/ Assist</c:v>
                  </c:pt>
                </c:lvl>
              </c:multiLvlStrCache>
            </c:multiLvlStrRef>
          </c:cat>
          <c:val>
            <c:numRef>
              <c:f>calc!$F$229:$F$248</c:f>
              <c:numCache>
                <c:formatCode>0%</c:formatCode>
                <c:ptCount val="20"/>
                <c:pt idx="0">
                  <c:v>0</c:v>
                </c:pt>
                <c:pt idx="1">
                  <c:v>0</c:v>
                </c:pt>
                <c:pt idx="4">
                  <c:v>0</c:v>
                </c:pt>
                <c:pt idx="5">
                  <c:v>0</c:v>
                </c:pt>
                <c:pt idx="8">
                  <c:v>0</c:v>
                </c:pt>
                <c:pt idx="9">
                  <c:v>0</c:v>
                </c:pt>
                <c:pt idx="12">
                  <c:v>0</c:v>
                </c:pt>
                <c:pt idx="13">
                  <c:v>0</c:v>
                </c:pt>
                <c:pt idx="16">
                  <c:v>0</c:v>
                </c:pt>
                <c:pt idx="17">
                  <c:v>0</c:v>
                </c:pt>
              </c:numCache>
            </c:numRef>
          </c:val>
          <c:extLst>
            <c:ext xmlns:c16="http://schemas.microsoft.com/office/drawing/2014/chart" uri="{C3380CC4-5D6E-409C-BE32-E72D297353CC}">
              <c16:uniqueId val="{00000000-24D6-468D-847F-B96D50E892FF}"/>
            </c:ext>
          </c:extLst>
        </c:ser>
        <c:ser>
          <c:idx val="3"/>
          <c:order val="3"/>
          <c:tx>
            <c:strRef>
              <c:f>calc!$H$227:$H$228</c:f>
              <c:strCache>
                <c:ptCount val="2"/>
                <c:pt idx="0">
                  <c:v>YTD</c:v>
                </c:pt>
                <c:pt idx="1">
                  <c:v>%Falls by Prior Activity</c:v>
                </c:pt>
              </c:strCache>
            </c:strRef>
          </c:tx>
          <c:spPr>
            <a:solidFill>
              <a:srgbClr val="006DB7"/>
            </a:solidFill>
            <a:ln>
              <a:solidFill>
                <a:srgbClr val="006DB7"/>
              </a:solidFill>
            </a:ln>
            <a:effectLst/>
          </c:spPr>
          <c:invertIfNegative val="0"/>
          <c:cat>
            <c:multiLvlStrRef>
              <c:f>calc!$C$229:$D$248</c:f>
              <c:multiLvlStrCache>
                <c:ptCount val="18"/>
                <c:lvl>
                  <c:pt idx="0">
                    <c:v>Entire Facility</c:v>
                  </c:pt>
                  <c:pt idx="1">
                    <c:v>Unit 1</c:v>
                  </c:pt>
                  <c:pt idx="4">
                    <c:v>Entire Facility</c:v>
                  </c:pt>
                  <c:pt idx="5">
                    <c:v>Unit 1</c:v>
                  </c:pt>
                  <c:pt idx="8">
                    <c:v>Entire Facility</c:v>
                  </c:pt>
                  <c:pt idx="9">
                    <c:v>Unit 1</c:v>
                  </c:pt>
                  <c:pt idx="12">
                    <c:v>Entire Facility</c:v>
                  </c:pt>
                  <c:pt idx="13">
                    <c:v>Unit 1</c:v>
                  </c:pt>
                  <c:pt idx="16">
                    <c:v>Entire Facility</c:v>
                  </c:pt>
                  <c:pt idx="17">
                    <c:v>Unit 1</c:v>
                  </c:pt>
                </c:lvl>
                <c:lvl>
                  <c:pt idx="0">
                    <c:v>Walking</c:v>
                  </c:pt>
                  <c:pt idx="4">
                    <c:v>Transfer</c:v>
                  </c:pt>
                  <c:pt idx="8">
                    <c:v>Bed</c:v>
                  </c:pt>
                  <c:pt idx="12">
                    <c:v>Chair</c:v>
                  </c:pt>
                  <c:pt idx="16">
                    <c:v>Toileting w/ Assist</c:v>
                  </c:pt>
                </c:lvl>
              </c:multiLvlStrCache>
            </c:multiLvlStrRef>
          </c:cat>
          <c:val>
            <c:numRef>
              <c:f>calc!$H$229:$H$248</c:f>
              <c:numCache>
                <c:formatCode>0%</c:formatCode>
                <c:ptCount val="20"/>
                <c:pt idx="0">
                  <c:v>0</c:v>
                </c:pt>
                <c:pt idx="1">
                  <c:v>0</c:v>
                </c:pt>
                <c:pt idx="4">
                  <c:v>0</c:v>
                </c:pt>
                <c:pt idx="5">
                  <c:v>0</c:v>
                </c:pt>
                <c:pt idx="8">
                  <c:v>0</c:v>
                </c:pt>
                <c:pt idx="9">
                  <c:v>0</c:v>
                </c:pt>
                <c:pt idx="12">
                  <c:v>0</c:v>
                </c:pt>
                <c:pt idx="13">
                  <c:v>0</c:v>
                </c:pt>
                <c:pt idx="16">
                  <c:v>0</c:v>
                </c:pt>
                <c:pt idx="17">
                  <c:v>0</c:v>
                </c:pt>
              </c:numCache>
            </c:numRef>
          </c:val>
          <c:extLst>
            <c:ext xmlns:c16="http://schemas.microsoft.com/office/drawing/2014/chart" uri="{C3380CC4-5D6E-409C-BE32-E72D297353CC}">
              <c16:uniqueId val="{00000001-24D6-468D-847F-B96D50E892FF}"/>
            </c:ext>
          </c:extLst>
        </c:ser>
        <c:dLbls>
          <c:showLegendKey val="0"/>
          <c:showVal val="0"/>
          <c:showCatName val="0"/>
          <c:showSerName val="0"/>
          <c:showPercent val="0"/>
          <c:showBubbleSize val="0"/>
        </c:dLbls>
        <c:gapWidth val="219"/>
        <c:overlap val="-27"/>
        <c:axId val="463716128"/>
        <c:axId val="463716960"/>
        <c:extLst>
          <c:ext xmlns:c15="http://schemas.microsoft.com/office/drawing/2012/chart" uri="{02D57815-91ED-43cb-92C2-25804820EDAC}">
            <c15:filteredBarSeries>
              <c15:ser>
                <c:idx val="0"/>
                <c:order val="0"/>
                <c:tx>
                  <c:strRef>
                    <c:extLst>
                      <c:ext uri="{02D57815-91ED-43cb-92C2-25804820EDAC}">
                        <c15:formulaRef>
                          <c15:sqref>calc!$E$227:$E$228</c15:sqref>
                        </c15:formulaRef>
                      </c:ext>
                    </c:extLst>
                    <c:strCache>
                      <c:ptCount val="2"/>
                      <c:pt idx="0">
                        <c:v>June-26</c:v>
                      </c:pt>
                      <c:pt idx="1">
                        <c:v>#Falls by Prior Activity</c:v>
                      </c:pt>
                    </c:strCache>
                  </c:strRef>
                </c:tx>
                <c:spPr>
                  <a:solidFill>
                    <a:schemeClr val="accent1"/>
                  </a:solidFill>
                  <a:ln>
                    <a:noFill/>
                  </a:ln>
                  <a:effectLst/>
                </c:spPr>
                <c:invertIfNegative val="0"/>
                <c:cat>
                  <c:multiLvlStrRef>
                    <c:extLst>
                      <c:ext uri="{02D57815-91ED-43cb-92C2-25804820EDAC}">
                        <c15:formulaRef>
                          <c15:sqref>calc!$C$229:$D$248</c15:sqref>
                        </c15:formulaRef>
                      </c:ext>
                    </c:extLst>
                    <c:multiLvlStrCache>
                      <c:ptCount val="18"/>
                      <c:lvl>
                        <c:pt idx="0">
                          <c:v>Entire Facility</c:v>
                        </c:pt>
                        <c:pt idx="1">
                          <c:v>Unit 1</c:v>
                        </c:pt>
                        <c:pt idx="4">
                          <c:v>Entire Facility</c:v>
                        </c:pt>
                        <c:pt idx="5">
                          <c:v>Unit 1</c:v>
                        </c:pt>
                        <c:pt idx="8">
                          <c:v>Entire Facility</c:v>
                        </c:pt>
                        <c:pt idx="9">
                          <c:v>Unit 1</c:v>
                        </c:pt>
                        <c:pt idx="12">
                          <c:v>Entire Facility</c:v>
                        </c:pt>
                        <c:pt idx="13">
                          <c:v>Unit 1</c:v>
                        </c:pt>
                        <c:pt idx="16">
                          <c:v>Entire Facility</c:v>
                        </c:pt>
                        <c:pt idx="17">
                          <c:v>Unit 1</c:v>
                        </c:pt>
                      </c:lvl>
                      <c:lvl>
                        <c:pt idx="0">
                          <c:v>Walking</c:v>
                        </c:pt>
                        <c:pt idx="4">
                          <c:v>Transfer</c:v>
                        </c:pt>
                        <c:pt idx="8">
                          <c:v>Bed</c:v>
                        </c:pt>
                        <c:pt idx="12">
                          <c:v>Chair</c:v>
                        </c:pt>
                        <c:pt idx="16">
                          <c:v>Toileting w/ Assist</c:v>
                        </c:pt>
                      </c:lvl>
                    </c:multiLvlStrCache>
                  </c:multiLvlStrRef>
                </c:cat>
                <c:val>
                  <c:numRef>
                    <c:extLst>
                      <c:ext uri="{02D57815-91ED-43cb-92C2-25804820EDAC}">
                        <c15:formulaRef>
                          <c15:sqref>calc!$E$229:$E$248</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2-24D6-468D-847F-B96D50E892FF}"/>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calc!$G$227:$G$228</c15:sqref>
                        </c15:formulaRef>
                      </c:ext>
                    </c:extLst>
                    <c:strCache>
                      <c:ptCount val="2"/>
                      <c:pt idx="0">
                        <c:v>YTD</c:v>
                      </c:pt>
                      <c:pt idx="1">
                        <c:v>#Falls by Prior Activity</c:v>
                      </c:pt>
                    </c:strCache>
                  </c:strRef>
                </c:tx>
                <c:spPr>
                  <a:solidFill>
                    <a:schemeClr val="accent3"/>
                  </a:solidFill>
                  <a:ln>
                    <a:noFill/>
                  </a:ln>
                  <a:effectLst/>
                </c:spPr>
                <c:invertIfNegative val="0"/>
                <c:cat>
                  <c:multiLvlStrRef>
                    <c:extLst xmlns:c15="http://schemas.microsoft.com/office/drawing/2012/chart">
                      <c:ext xmlns:c15="http://schemas.microsoft.com/office/drawing/2012/chart" uri="{02D57815-91ED-43cb-92C2-25804820EDAC}">
                        <c15:formulaRef>
                          <c15:sqref>calc!$C$229:$D$248</c15:sqref>
                        </c15:formulaRef>
                      </c:ext>
                    </c:extLst>
                    <c:multiLvlStrCache>
                      <c:ptCount val="18"/>
                      <c:lvl>
                        <c:pt idx="0">
                          <c:v>Entire Facility</c:v>
                        </c:pt>
                        <c:pt idx="1">
                          <c:v>Unit 1</c:v>
                        </c:pt>
                        <c:pt idx="4">
                          <c:v>Entire Facility</c:v>
                        </c:pt>
                        <c:pt idx="5">
                          <c:v>Unit 1</c:v>
                        </c:pt>
                        <c:pt idx="8">
                          <c:v>Entire Facility</c:v>
                        </c:pt>
                        <c:pt idx="9">
                          <c:v>Unit 1</c:v>
                        </c:pt>
                        <c:pt idx="12">
                          <c:v>Entire Facility</c:v>
                        </c:pt>
                        <c:pt idx="13">
                          <c:v>Unit 1</c:v>
                        </c:pt>
                        <c:pt idx="16">
                          <c:v>Entire Facility</c:v>
                        </c:pt>
                        <c:pt idx="17">
                          <c:v>Unit 1</c:v>
                        </c:pt>
                      </c:lvl>
                      <c:lvl>
                        <c:pt idx="0">
                          <c:v>Walking</c:v>
                        </c:pt>
                        <c:pt idx="4">
                          <c:v>Transfer</c:v>
                        </c:pt>
                        <c:pt idx="8">
                          <c:v>Bed</c:v>
                        </c:pt>
                        <c:pt idx="12">
                          <c:v>Chair</c:v>
                        </c:pt>
                        <c:pt idx="16">
                          <c:v>Toileting w/ Assist</c:v>
                        </c:pt>
                      </c:lvl>
                    </c:multiLvlStrCache>
                  </c:multiLvlStrRef>
                </c:cat>
                <c:val>
                  <c:numRef>
                    <c:extLst xmlns:c15="http://schemas.microsoft.com/office/drawing/2012/chart">
                      <c:ext xmlns:c15="http://schemas.microsoft.com/office/drawing/2012/chart" uri="{02D57815-91ED-43cb-92C2-25804820EDAC}">
                        <c15:formulaRef>
                          <c15:sqref>calc!$G$229:$G$248</c15:sqref>
                        </c15:formulaRef>
                      </c:ext>
                    </c:extLst>
                    <c:numCache>
                      <c:formatCode>General</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xmlns:c15="http://schemas.microsoft.com/office/drawing/2012/chart">
                  <c:ext xmlns:c16="http://schemas.microsoft.com/office/drawing/2014/chart" uri="{C3380CC4-5D6E-409C-BE32-E72D297353CC}">
                    <c16:uniqueId val="{00000003-24D6-468D-847F-B96D50E892FF}"/>
                  </c:ext>
                </c:extLst>
              </c15:ser>
            </c15:filteredBarSeries>
          </c:ext>
        </c:extLst>
      </c:barChart>
      <c:catAx>
        <c:axId val="463716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3716960"/>
        <c:crosses val="autoZero"/>
        <c:auto val="1"/>
        <c:lblAlgn val="ctr"/>
        <c:lblOffset val="100"/>
        <c:noMultiLvlLbl val="0"/>
      </c:catAx>
      <c:valAx>
        <c:axId val="4637169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3716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2.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4.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chart" Target="../charts/chart17.xml"/><Relationship Id="rId7" Type="http://schemas.openxmlformats.org/officeDocument/2006/relationships/chart" Target="../charts/chart21.xml"/><Relationship Id="rId2" Type="http://schemas.openxmlformats.org/officeDocument/2006/relationships/chart" Target="../charts/chart16.xml"/><Relationship Id="rId1" Type="http://schemas.openxmlformats.org/officeDocument/2006/relationships/chart" Target="../charts/chart15.xml"/><Relationship Id="rId6" Type="http://schemas.openxmlformats.org/officeDocument/2006/relationships/chart" Target="../charts/chart20.xml"/><Relationship Id="rId5" Type="http://schemas.openxmlformats.org/officeDocument/2006/relationships/chart" Target="../charts/chart19.xml"/><Relationship Id="rId4"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8" Type="http://schemas.openxmlformats.org/officeDocument/2006/relationships/image" Target="../media/image4.png"/><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4" Type="http://schemas.openxmlformats.org/officeDocument/2006/relationships/chart" Target="../charts/chart25.xml"/></Relationships>
</file>

<file path=xl/drawings/_rels/drawing8.xml.rels><?xml version="1.0" encoding="UTF-8" standalone="yes"?>
<Relationships xmlns="http://schemas.openxmlformats.org/package/2006/relationships"><Relationship Id="rId3" Type="http://schemas.openxmlformats.org/officeDocument/2006/relationships/chart" Target="../charts/chart31.xml"/><Relationship Id="rId2" Type="http://schemas.openxmlformats.org/officeDocument/2006/relationships/chart" Target="../charts/chart30.xml"/><Relationship Id="rId1" Type="http://schemas.openxmlformats.org/officeDocument/2006/relationships/chart" Target="../charts/chart29.xml"/><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8</xdr:col>
      <xdr:colOff>162401</xdr:colOff>
      <xdr:row>20</xdr:row>
      <xdr:rowOff>73819</xdr:rowOff>
    </xdr:from>
    <xdr:to>
      <xdr:col>15</xdr:col>
      <xdr:colOff>337661</xdr:colOff>
      <xdr:row>33</xdr:row>
      <xdr:rowOff>25717</xdr:rowOff>
    </xdr:to>
    <xdr:graphicFrame macro="">
      <xdr:nvGraphicFramePr>
        <xdr:cNvPr id="3" name="Chart 2">
          <a:extLst>
            <a:ext uri="{FF2B5EF4-FFF2-40B4-BE49-F238E27FC236}">
              <a16:creationId xmlns:a16="http://schemas.microsoft.com/office/drawing/2014/main" id="{618E7404-37C2-411F-B88B-24EE8880EFA6}"/>
            </a:ext>
            <a:ext uri="{147F2762-F138-4A5C-976F-8EAC2B608ADB}">
              <a16:predDERef xmlns:a16="http://schemas.microsoft.com/office/drawing/2014/main" pred="{C01B8980-2FBF-5612-506A-1BEC2B74BF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297180</xdr:colOff>
      <xdr:row>34</xdr:row>
      <xdr:rowOff>15241</xdr:rowOff>
    </xdr:from>
    <xdr:to>
      <xdr:col>34</xdr:col>
      <xdr:colOff>419100</xdr:colOff>
      <xdr:row>75</xdr:row>
      <xdr:rowOff>501015</xdr:rowOff>
    </xdr:to>
    <xdr:graphicFrame macro="">
      <xdr:nvGraphicFramePr>
        <xdr:cNvPr id="4" name="Chart 3">
          <a:extLst>
            <a:ext uri="{FF2B5EF4-FFF2-40B4-BE49-F238E27FC236}">
              <a16:creationId xmlns:a16="http://schemas.microsoft.com/office/drawing/2014/main" id="{A3DAA1B1-5BED-447E-8B5F-5F18E0A028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129540</xdr:colOff>
      <xdr:row>75</xdr:row>
      <xdr:rowOff>552450</xdr:rowOff>
    </xdr:from>
    <xdr:to>
      <xdr:col>20</xdr:col>
      <xdr:colOff>35719</xdr:colOff>
      <xdr:row>107</xdr:row>
      <xdr:rowOff>133350</xdr:rowOff>
    </xdr:to>
    <xdr:graphicFrame macro="">
      <xdr:nvGraphicFramePr>
        <xdr:cNvPr id="5" name="Chart 4">
          <a:extLst>
            <a:ext uri="{FF2B5EF4-FFF2-40B4-BE49-F238E27FC236}">
              <a16:creationId xmlns:a16="http://schemas.microsoft.com/office/drawing/2014/main" id="{E9957578-2AD3-44E4-B20D-E77140961E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190500</xdr:colOff>
      <xdr:row>109</xdr:row>
      <xdr:rowOff>951</xdr:rowOff>
    </xdr:from>
    <xdr:to>
      <xdr:col>19</xdr:col>
      <xdr:colOff>250031</xdr:colOff>
      <xdr:row>124</xdr:row>
      <xdr:rowOff>202406</xdr:rowOff>
    </xdr:to>
    <xdr:graphicFrame macro="">
      <xdr:nvGraphicFramePr>
        <xdr:cNvPr id="6" name="Chart 5">
          <a:extLst>
            <a:ext uri="{FF2B5EF4-FFF2-40B4-BE49-F238E27FC236}">
              <a16:creationId xmlns:a16="http://schemas.microsoft.com/office/drawing/2014/main" id="{9A451FD4-ACAD-4DC8-8F91-6FAF4D4B4C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169544</xdr:colOff>
      <xdr:row>128</xdr:row>
      <xdr:rowOff>152399</xdr:rowOff>
    </xdr:from>
    <xdr:to>
      <xdr:col>17</xdr:col>
      <xdr:colOff>59531</xdr:colOff>
      <xdr:row>148</xdr:row>
      <xdr:rowOff>22859</xdr:rowOff>
    </xdr:to>
    <xdr:graphicFrame macro="">
      <xdr:nvGraphicFramePr>
        <xdr:cNvPr id="7" name="Chart 6">
          <a:extLst>
            <a:ext uri="{FF2B5EF4-FFF2-40B4-BE49-F238E27FC236}">
              <a16:creationId xmlns:a16="http://schemas.microsoft.com/office/drawing/2014/main" id="{3F29340C-05E1-4840-A0E9-5D9751353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169544</xdr:colOff>
      <xdr:row>148</xdr:row>
      <xdr:rowOff>37148</xdr:rowOff>
    </xdr:from>
    <xdr:to>
      <xdr:col>17</xdr:col>
      <xdr:colOff>47624</xdr:colOff>
      <xdr:row>162</xdr:row>
      <xdr:rowOff>49531</xdr:rowOff>
    </xdr:to>
    <xdr:graphicFrame macro="">
      <xdr:nvGraphicFramePr>
        <xdr:cNvPr id="8" name="Chart 7">
          <a:extLst>
            <a:ext uri="{FF2B5EF4-FFF2-40B4-BE49-F238E27FC236}">
              <a16:creationId xmlns:a16="http://schemas.microsoft.com/office/drawing/2014/main" id="{07DC57DC-20E5-4110-9F4A-597834425B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173355</xdr:colOff>
      <xdr:row>162</xdr:row>
      <xdr:rowOff>56197</xdr:rowOff>
    </xdr:from>
    <xdr:to>
      <xdr:col>17</xdr:col>
      <xdr:colOff>35718</xdr:colOff>
      <xdr:row>177</xdr:row>
      <xdr:rowOff>76200</xdr:rowOff>
    </xdr:to>
    <xdr:graphicFrame macro="">
      <xdr:nvGraphicFramePr>
        <xdr:cNvPr id="9" name="Chart 8">
          <a:extLst>
            <a:ext uri="{FF2B5EF4-FFF2-40B4-BE49-F238E27FC236}">
              <a16:creationId xmlns:a16="http://schemas.microsoft.com/office/drawing/2014/main" id="{6048ECCF-AD78-408C-8CA8-6D2B6F5430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18</xdr:col>
      <xdr:colOff>324803</xdr:colOff>
      <xdr:row>177</xdr:row>
      <xdr:rowOff>392429</xdr:rowOff>
    </xdr:from>
    <xdr:to>
      <xdr:col>33</xdr:col>
      <xdr:colOff>325279</xdr:colOff>
      <xdr:row>226</xdr:row>
      <xdr:rowOff>219551</xdr:rowOff>
    </xdr:to>
    <xdr:graphicFrame macro="">
      <xdr:nvGraphicFramePr>
        <xdr:cNvPr id="10" name="Chart 9">
          <a:extLst>
            <a:ext uri="{FF2B5EF4-FFF2-40B4-BE49-F238E27FC236}">
              <a16:creationId xmlns:a16="http://schemas.microsoft.com/office/drawing/2014/main" id="{5C25AA08-5158-4FC5-A1A9-B38A51FDE3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377190</xdr:colOff>
      <xdr:row>234</xdr:row>
      <xdr:rowOff>124775</xdr:rowOff>
    </xdr:from>
    <xdr:to>
      <xdr:col>18</xdr:col>
      <xdr:colOff>411480</xdr:colOff>
      <xdr:row>257</xdr:row>
      <xdr:rowOff>2856</xdr:rowOff>
    </xdr:to>
    <xdr:graphicFrame macro="">
      <xdr:nvGraphicFramePr>
        <xdr:cNvPr id="11" name="Chart 10">
          <a:extLst>
            <a:ext uri="{FF2B5EF4-FFF2-40B4-BE49-F238E27FC236}">
              <a16:creationId xmlns:a16="http://schemas.microsoft.com/office/drawing/2014/main" id="{59873395-BB86-42C2-B6CA-C9B814E4FA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20</xdr:col>
      <xdr:colOff>28099</xdr:colOff>
      <xdr:row>257</xdr:row>
      <xdr:rowOff>31433</xdr:rowOff>
    </xdr:from>
    <xdr:to>
      <xdr:col>31</xdr:col>
      <xdr:colOff>186690</xdr:colOff>
      <xdr:row>289</xdr:row>
      <xdr:rowOff>205741</xdr:rowOff>
    </xdr:to>
    <xdr:graphicFrame macro="">
      <xdr:nvGraphicFramePr>
        <xdr:cNvPr id="12" name="Chart 11">
          <a:extLst>
            <a:ext uri="{FF2B5EF4-FFF2-40B4-BE49-F238E27FC236}">
              <a16:creationId xmlns:a16="http://schemas.microsoft.com/office/drawing/2014/main" id="{CF0D4982-E4B0-4F19-8172-C3DF315418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152400</xdr:colOff>
      <xdr:row>290</xdr:row>
      <xdr:rowOff>155255</xdr:rowOff>
    </xdr:from>
    <xdr:to>
      <xdr:col>17</xdr:col>
      <xdr:colOff>250031</xdr:colOff>
      <xdr:row>306</xdr:row>
      <xdr:rowOff>107155</xdr:rowOff>
    </xdr:to>
    <xdr:graphicFrame macro="">
      <xdr:nvGraphicFramePr>
        <xdr:cNvPr id="13" name="Chart 12">
          <a:extLst>
            <a:ext uri="{FF2B5EF4-FFF2-40B4-BE49-F238E27FC236}">
              <a16:creationId xmlns:a16="http://schemas.microsoft.com/office/drawing/2014/main" id="{E17C2887-225F-4406-AB67-DB1061FDE0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12</xdr:col>
      <xdr:colOff>480060</xdr:colOff>
      <xdr:row>3</xdr:row>
      <xdr:rowOff>83820</xdr:rowOff>
    </xdr:from>
    <xdr:to>
      <xdr:col>14</xdr:col>
      <xdr:colOff>514350</xdr:colOff>
      <xdr:row>3</xdr:row>
      <xdr:rowOff>703090</xdr:rowOff>
    </xdr:to>
    <xdr:pic>
      <xdr:nvPicPr>
        <xdr:cNvPr id="14" name="Picture 13">
          <a:extLst>
            <a:ext uri="{FF2B5EF4-FFF2-40B4-BE49-F238E27FC236}">
              <a16:creationId xmlns:a16="http://schemas.microsoft.com/office/drawing/2014/main" id="{E3670104-EB66-4F67-AE85-14B1C907BDBB}"/>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2887325" y="723900"/>
          <a:ext cx="1558290" cy="621175"/>
        </a:xfrm>
        <a:prstGeom prst="rect">
          <a:avLst/>
        </a:prstGeom>
      </xdr:spPr>
    </xdr:pic>
    <xdr:clientData/>
  </xdr:twoCellAnchor>
  <xdr:twoCellAnchor>
    <xdr:from>
      <xdr:col>8</xdr:col>
      <xdr:colOff>133111</xdr:colOff>
      <xdr:row>41</xdr:row>
      <xdr:rowOff>84533</xdr:rowOff>
    </xdr:from>
    <xdr:to>
      <xdr:col>15</xdr:col>
      <xdr:colOff>396716</xdr:colOff>
      <xdr:row>54</xdr:row>
      <xdr:rowOff>190500</xdr:rowOff>
    </xdr:to>
    <xdr:graphicFrame macro="">
      <xdr:nvGraphicFramePr>
        <xdr:cNvPr id="15" name="Chart 14">
          <a:extLst>
            <a:ext uri="{FF2B5EF4-FFF2-40B4-BE49-F238E27FC236}">
              <a16:creationId xmlns:a16="http://schemas.microsoft.com/office/drawing/2014/main" id="{2C0595D7-F02F-4AB0-A647-FFBA8916F4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8</xdr:col>
      <xdr:colOff>228361</xdr:colOff>
      <xdr:row>186</xdr:row>
      <xdr:rowOff>120729</xdr:rowOff>
    </xdr:from>
    <xdr:to>
      <xdr:col>15</xdr:col>
      <xdr:colOff>583406</xdr:colOff>
      <xdr:row>201</xdr:row>
      <xdr:rowOff>154781</xdr:rowOff>
    </xdr:to>
    <xdr:graphicFrame macro="">
      <xdr:nvGraphicFramePr>
        <xdr:cNvPr id="16" name="Chart 15">
          <a:extLst>
            <a:ext uri="{FF2B5EF4-FFF2-40B4-BE49-F238E27FC236}">
              <a16:creationId xmlns:a16="http://schemas.microsoft.com/office/drawing/2014/main" id="{55651F9C-954F-4BCD-AFA7-A2112F4779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244553</xdr:colOff>
      <xdr:row>267</xdr:row>
      <xdr:rowOff>39288</xdr:rowOff>
    </xdr:from>
    <xdr:to>
      <xdr:col>17</xdr:col>
      <xdr:colOff>190500</xdr:colOff>
      <xdr:row>284</xdr:row>
      <xdr:rowOff>35718</xdr:rowOff>
    </xdr:to>
    <xdr:graphicFrame macro="">
      <xdr:nvGraphicFramePr>
        <xdr:cNvPr id="17" name="Chart 16">
          <a:extLst>
            <a:ext uri="{FF2B5EF4-FFF2-40B4-BE49-F238E27FC236}">
              <a16:creationId xmlns:a16="http://schemas.microsoft.com/office/drawing/2014/main" id="{AB45325B-5FF6-4C5C-83D8-D6EC8BEFE9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11</xdr:col>
      <xdr:colOff>550333</xdr:colOff>
      <xdr:row>0</xdr:row>
      <xdr:rowOff>42333</xdr:rowOff>
    </xdr:from>
    <xdr:to>
      <xdr:col>15</xdr:col>
      <xdr:colOff>103910</xdr:colOff>
      <xdr:row>0</xdr:row>
      <xdr:rowOff>661912</xdr:rowOff>
    </xdr:to>
    <xdr:pic>
      <xdr:nvPicPr>
        <xdr:cNvPr id="3" name="Picture 2">
          <a:extLst>
            <a:ext uri="{FF2B5EF4-FFF2-40B4-BE49-F238E27FC236}">
              <a16:creationId xmlns:a16="http://schemas.microsoft.com/office/drawing/2014/main" id="{8762C0A1-1689-4C88-9835-DC51B11C4A4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33000" y="42333"/>
          <a:ext cx="2093577" cy="619579"/>
        </a:xfrm>
        <a:prstGeom prst="rect">
          <a:avLst/>
        </a:prstGeom>
      </xdr:spPr>
    </xdr:pic>
    <xdr:clientData/>
  </xdr:twoCellAnchor>
  <xdr:twoCellAnchor editAs="oneCell">
    <xdr:from>
      <xdr:col>0</xdr:col>
      <xdr:colOff>21729</xdr:colOff>
      <xdr:row>36</xdr:row>
      <xdr:rowOff>269645</xdr:rowOff>
    </xdr:from>
    <xdr:to>
      <xdr:col>0</xdr:col>
      <xdr:colOff>2074667</xdr:colOff>
      <xdr:row>36</xdr:row>
      <xdr:rowOff>769794</xdr:rowOff>
    </xdr:to>
    <xdr:pic>
      <xdr:nvPicPr>
        <xdr:cNvPr id="4" name="Picture 3">
          <a:extLst>
            <a:ext uri="{FF2B5EF4-FFF2-40B4-BE49-F238E27FC236}">
              <a16:creationId xmlns:a16="http://schemas.microsoft.com/office/drawing/2014/main" id="{DA87065A-D2FC-4871-BB01-91575A0CAE33}"/>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21729" y="9543531"/>
          <a:ext cx="2052938" cy="5001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11</xdr:col>
      <xdr:colOff>1514475</xdr:colOff>
      <xdr:row>0</xdr:row>
      <xdr:rowOff>38100</xdr:rowOff>
    </xdr:from>
    <xdr:to>
      <xdr:col>14</xdr:col>
      <xdr:colOff>100832</xdr:colOff>
      <xdr:row>0</xdr:row>
      <xdr:rowOff>657679</xdr:rowOff>
    </xdr:to>
    <xdr:pic>
      <xdr:nvPicPr>
        <xdr:cNvPr id="2" name="Picture 1">
          <a:extLst>
            <a:ext uri="{FF2B5EF4-FFF2-40B4-BE49-F238E27FC236}">
              <a16:creationId xmlns:a16="http://schemas.microsoft.com/office/drawing/2014/main" id="{0834A6AD-8D75-4C4E-A256-59FE24C8CB8D}"/>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116050" y="38100"/>
          <a:ext cx="2082032" cy="61957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12</xdr:col>
      <xdr:colOff>419100</xdr:colOff>
      <xdr:row>0</xdr:row>
      <xdr:rowOff>114300</xdr:rowOff>
    </xdr:from>
    <xdr:to>
      <xdr:col>14</xdr:col>
      <xdr:colOff>777107</xdr:colOff>
      <xdr:row>2</xdr:row>
      <xdr:rowOff>9979</xdr:rowOff>
    </xdr:to>
    <xdr:pic>
      <xdr:nvPicPr>
        <xdr:cNvPr id="2" name="Picture 1">
          <a:extLst>
            <a:ext uri="{FF2B5EF4-FFF2-40B4-BE49-F238E27FC236}">
              <a16:creationId xmlns:a16="http://schemas.microsoft.com/office/drawing/2014/main" id="{F50D525F-AC53-4F3F-AE54-5CCA367293C8}"/>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764000" y="114300"/>
          <a:ext cx="2082032" cy="61957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542925</xdr:colOff>
      <xdr:row>0</xdr:row>
      <xdr:rowOff>85725</xdr:rowOff>
    </xdr:from>
    <xdr:to>
      <xdr:col>9</xdr:col>
      <xdr:colOff>186557</xdr:colOff>
      <xdr:row>0</xdr:row>
      <xdr:rowOff>705304</xdr:rowOff>
    </xdr:to>
    <xdr:pic>
      <xdr:nvPicPr>
        <xdr:cNvPr id="2" name="Picture 1">
          <a:extLst>
            <a:ext uri="{FF2B5EF4-FFF2-40B4-BE49-F238E27FC236}">
              <a16:creationId xmlns:a16="http://schemas.microsoft.com/office/drawing/2014/main" id="{1A8037A8-54C9-4DE6-861B-7CF6D306284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48525" y="85725"/>
          <a:ext cx="2082032" cy="61957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74294</xdr:colOff>
      <xdr:row>8</xdr:row>
      <xdr:rowOff>190500</xdr:rowOff>
    </xdr:from>
    <xdr:to>
      <xdr:col>5</xdr:col>
      <xdr:colOff>628650</xdr:colOff>
      <xdr:row>14</xdr:row>
      <xdr:rowOff>76676</xdr:rowOff>
    </xdr:to>
    <xdr:graphicFrame macro="">
      <xdr:nvGraphicFramePr>
        <xdr:cNvPr id="25" name="Chart 3" descr="Fall tracking chart">
          <a:extLst>
            <a:ext uri="{FF2B5EF4-FFF2-40B4-BE49-F238E27FC236}">
              <a16:creationId xmlns:a16="http://schemas.microsoft.com/office/drawing/2014/main" id="{C01B8980-2FBF-5612-506A-1BEC2B74BF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455772</xdr:colOff>
      <xdr:row>17</xdr:row>
      <xdr:rowOff>234474</xdr:rowOff>
    </xdr:from>
    <xdr:to>
      <xdr:col>16</xdr:col>
      <xdr:colOff>220557</xdr:colOff>
      <xdr:row>33</xdr:row>
      <xdr:rowOff>27729</xdr:rowOff>
    </xdr:to>
    <xdr:graphicFrame macro="">
      <xdr:nvGraphicFramePr>
        <xdr:cNvPr id="29" name="Chart 4" descr="Auto generated fall tracking chart">
          <a:extLst>
            <a:ext uri="{FF2B5EF4-FFF2-40B4-BE49-F238E27FC236}">
              <a16:creationId xmlns:a16="http://schemas.microsoft.com/office/drawing/2014/main" id="{B820FADB-C875-D746-E0C5-C7FC369124B5}"/>
            </a:ext>
            <a:ext uri="{147F2762-F138-4A5C-976F-8EAC2B608ADB}">
              <a16:predDERef xmlns:a16="http://schemas.microsoft.com/office/drawing/2014/main" pred="{C01B8980-2FBF-5612-506A-1BEC2B74BF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25719</xdr:colOff>
      <xdr:row>46</xdr:row>
      <xdr:rowOff>134305</xdr:rowOff>
    </xdr:from>
    <xdr:to>
      <xdr:col>24</xdr:col>
      <xdr:colOff>59532</xdr:colOff>
      <xdr:row>78</xdr:row>
      <xdr:rowOff>47625</xdr:rowOff>
    </xdr:to>
    <xdr:graphicFrame macro="">
      <xdr:nvGraphicFramePr>
        <xdr:cNvPr id="31" name="Chart 6" descr="Percent of falls by causal factor">
          <a:extLst>
            <a:ext uri="{FF2B5EF4-FFF2-40B4-BE49-F238E27FC236}">
              <a16:creationId xmlns:a16="http://schemas.microsoft.com/office/drawing/2014/main" id="{9F2EC0D1-87D7-4671-B1C4-CF8DFD00CA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815002</xdr:colOff>
      <xdr:row>82</xdr:row>
      <xdr:rowOff>178321</xdr:rowOff>
    </xdr:from>
    <xdr:to>
      <xdr:col>25</xdr:col>
      <xdr:colOff>311672</xdr:colOff>
      <xdr:row>110</xdr:row>
      <xdr:rowOff>141174</xdr:rowOff>
    </xdr:to>
    <xdr:graphicFrame macro="">
      <xdr:nvGraphicFramePr>
        <xdr:cNvPr id="40" name="Chart 12" descr="Percent of falls by prior activity">
          <a:extLst>
            <a:ext uri="{FF2B5EF4-FFF2-40B4-BE49-F238E27FC236}">
              <a16:creationId xmlns:a16="http://schemas.microsoft.com/office/drawing/2014/main" id="{CD8EE451-2F8B-3037-C11B-D2955DA6DC7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136921</xdr:colOff>
      <xdr:row>46</xdr:row>
      <xdr:rowOff>171450</xdr:rowOff>
    </xdr:from>
    <xdr:to>
      <xdr:col>15</xdr:col>
      <xdr:colOff>400526</xdr:colOff>
      <xdr:row>61</xdr:row>
      <xdr:rowOff>190500</xdr:rowOff>
    </xdr:to>
    <xdr:graphicFrame macro="">
      <xdr:nvGraphicFramePr>
        <xdr:cNvPr id="30" name="Chart 1" descr="Causal factors of fall">
          <a:extLst>
            <a:ext uri="{FF2B5EF4-FFF2-40B4-BE49-F238E27FC236}">
              <a16:creationId xmlns:a16="http://schemas.microsoft.com/office/drawing/2014/main" id="{465D40A0-9161-48DD-0BD5-A469291EF3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8</xdr:col>
      <xdr:colOff>343137</xdr:colOff>
      <xdr:row>82</xdr:row>
      <xdr:rowOff>183593</xdr:rowOff>
    </xdr:from>
    <xdr:to>
      <xdr:col>16</xdr:col>
      <xdr:colOff>421821</xdr:colOff>
      <xdr:row>100</xdr:row>
      <xdr:rowOff>238125</xdr:rowOff>
    </xdr:to>
    <xdr:graphicFrame macro="">
      <xdr:nvGraphicFramePr>
        <xdr:cNvPr id="39" name="Chart 1" descr="Nursing Home Falls Tracking Tool">
          <a:extLst>
            <a:ext uri="{FF2B5EF4-FFF2-40B4-BE49-F238E27FC236}">
              <a16:creationId xmlns:a16="http://schemas.microsoft.com/office/drawing/2014/main" id="{5F16AD2E-FDF4-5F41-9A8B-4C6374AA68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657225</xdr:colOff>
      <xdr:row>8</xdr:row>
      <xdr:rowOff>38100</xdr:rowOff>
    </xdr:from>
    <xdr:to>
      <xdr:col>14</xdr:col>
      <xdr:colOff>762000</xdr:colOff>
      <xdr:row>14</xdr:row>
      <xdr:rowOff>66675</xdr:rowOff>
    </xdr:to>
    <xdr:graphicFrame macro="">
      <xdr:nvGraphicFramePr>
        <xdr:cNvPr id="45" name="Chart 2" descr="Monthly total falls tracked">
          <a:extLst>
            <a:ext uri="{FF2B5EF4-FFF2-40B4-BE49-F238E27FC236}">
              <a16:creationId xmlns:a16="http://schemas.microsoft.com/office/drawing/2014/main" id="{BADBE0F7-D85B-F334-8CA2-2D2D05570F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12</xdr:col>
      <xdr:colOff>43294</xdr:colOff>
      <xdr:row>1</xdr:row>
      <xdr:rowOff>58646</xdr:rowOff>
    </xdr:from>
    <xdr:to>
      <xdr:col>14</xdr:col>
      <xdr:colOff>664826</xdr:colOff>
      <xdr:row>1</xdr:row>
      <xdr:rowOff>678225</xdr:rowOff>
    </xdr:to>
    <xdr:pic>
      <xdr:nvPicPr>
        <xdr:cNvPr id="5" name="Picture 4">
          <a:extLst>
            <a:ext uri="{FF2B5EF4-FFF2-40B4-BE49-F238E27FC236}">
              <a16:creationId xmlns:a16="http://schemas.microsoft.com/office/drawing/2014/main" id="{A01EE2DF-09F6-8C85-FCD8-904C20C1B87B}"/>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3334999" y="275123"/>
          <a:ext cx="2093577" cy="61957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8</xdr:col>
      <xdr:colOff>129540</xdr:colOff>
      <xdr:row>8</xdr:row>
      <xdr:rowOff>0</xdr:rowOff>
    </xdr:from>
    <xdr:to>
      <xdr:col>17</xdr:col>
      <xdr:colOff>266700</xdr:colOff>
      <xdr:row>39</xdr:row>
      <xdr:rowOff>133350</xdr:rowOff>
    </xdr:to>
    <xdr:graphicFrame macro="">
      <xdr:nvGraphicFramePr>
        <xdr:cNvPr id="5" name="Chart 7" descr="Nursing Home Falls Tracking Tool">
          <a:extLst>
            <a:ext uri="{FF2B5EF4-FFF2-40B4-BE49-F238E27FC236}">
              <a16:creationId xmlns:a16="http://schemas.microsoft.com/office/drawing/2014/main" id="{4C1013E0-0CFD-4D33-844D-822B7D0309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190500</xdr:colOff>
      <xdr:row>41</xdr:row>
      <xdr:rowOff>951</xdr:rowOff>
    </xdr:from>
    <xdr:to>
      <xdr:col>19</xdr:col>
      <xdr:colOff>250031</xdr:colOff>
      <xdr:row>56</xdr:row>
      <xdr:rowOff>202406</xdr:rowOff>
    </xdr:to>
    <xdr:graphicFrame macro="">
      <xdr:nvGraphicFramePr>
        <xdr:cNvPr id="6" name="Chart 5" descr="Falls by shift">
          <a:extLst>
            <a:ext uri="{FF2B5EF4-FFF2-40B4-BE49-F238E27FC236}">
              <a16:creationId xmlns:a16="http://schemas.microsoft.com/office/drawing/2014/main" id="{28345AEA-C56B-4F63-B6EC-1093EFE07B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169544</xdr:colOff>
      <xdr:row>60</xdr:row>
      <xdr:rowOff>152399</xdr:rowOff>
    </xdr:from>
    <xdr:to>
      <xdr:col>17</xdr:col>
      <xdr:colOff>59531</xdr:colOff>
      <xdr:row>80</xdr:row>
      <xdr:rowOff>22859</xdr:rowOff>
    </xdr:to>
    <xdr:graphicFrame macro="">
      <xdr:nvGraphicFramePr>
        <xdr:cNvPr id="7" name="Chart 8" descr="Falls by time span">
          <a:extLst>
            <a:ext uri="{FF2B5EF4-FFF2-40B4-BE49-F238E27FC236}">
              <a16:creationId xmlns:a16="http://schemas.microsoft.com/office/drawing/2014/main" id="{475D5913-8963-40E5-BBB0-3996F9C9FD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169544</xdr:colOff>
      <xdr:row>80</xdr:row>
      <xdr:rowOff>37148</xdr:rowOff>
    </xdr:from>
    <xdr:to>
      <xdr:col>17</xdr:col>
      <xdr:colOff>47624</xdr:colOff>
      <xdr:row>94</xdr:row>
      <xdr:rowOff>49531</xdr:rowOff>
    </xdr:to>
    <xdr:graphicFrame macro="">
      <xdr:nvGraphicFramePr>
        <xdr:cNvPr id="8" name="Chart 9" descr="Falls by time - evening shift">
          <a:extLst>
            <a:ext uri="{FF2B5EF4-FFF2-40B4-BE49-F238E27FC236}">
              <a16:creationId xmlns:a16="http://schemas.microsoft.com/office/drawing/2014/main" id="{67B4809D-A7B1-43CF-9531-011F1B781F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180128</xdr:colOff>
      <xdr:row>93</xdr:row>
      <xdr:rowOff>176424</xdr:rowOff>
    </xdr:from>
    <xdr:to>
      <xdr:col>17</xdr:col>
      <xdr:colOff>46301</xdr:colOff>
      <xdr:row>108</xdr:row>
      <xdr:rowOff>192617</xdr:rowOff>
    </xdr:to>
    <xdr:graphicFrame macro="">
      <xdr:nvGraphicFramePr>
        <xdr:cNvPr id="9" name="Chart 10" descr="Falls by time - night shift">
          <a:extLst>
            <a:ext uri="{FF2B5EF4-FFF2-40B4-BE49-F238E27FC236}">
              <a16:creationId xmlns:a16="http://schemas.microsoft.com/office/drawing/2014/main" id="{C7E703BC-FA9F-43FB-901A-0A8E6D8373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61982</xdr:colOff>
      <xdr:row>112</xdr:row>
      <xdr:rowOff>118041</xdr:rowOff>
    </xdr:from>
    <xdr:to>
      <xdr:col>25</xdr:col>
      <xdr:colOff>418081</xdr:colOff>
      <xdr:row>155</xdr:row>
      <xdr:rowOff>36127</xdr:rowOff>
    </xdr:to>
    <xdr:graphicFrame macro="">
      <xdr:nvGraphicFramePr>
        <xdr:cNvPr id="10" name="Chart 11" descr="Falls by location">
          <a:extLst>
            <a:ext uri="{FF2B5EF4-FFF2-40B4-BE49-F238E27FC236}">
              <a16:creationId xmlns:a16="http://schemas.microsoft.com/office/drawing/2014/main" id="{0F3CD01C-8179-485B-BF53-392851B225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167877</xdr:colOff>
      <xdr:row>120</xdr:row>
      <xdr:rowOff>189413</xdr:rowOff>
    </xdr:from>
    <xdr:to>
      <xdr:col>16</xdr:col>
      <xdr:colOff>655864</xdr:colOff>
      <xdr:row>141</xdr:row>
      <xdr:rowOff>236324</xdr:rowOff>
    </xdr:to>
    <xdr:graphicFrame macro="">
      <xdr:nvGraphicFramePr>
        <xdr:cNvPr id="16" name="Chart 2" descr="Falls by location">
          <a:extLst>
            <a:ext uri="{FF2B5EF4-FFF2-40B4-BE49-F238E27FC236}">
              <a16:creationId xmlns:a16="http://schemas.microsoft.com/office/drawing/2014/main" id="{1DEC7870-8A3D-4DD1-8963-49D5B0566F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12</xdr:col>
      <xdr:colOff>105833</xdr:colOff>
      <xdr:row>1</xdr:row>
      <xdr:rowOff>31750</xdr:rowOff>
    </xdr:from>
    <xdr:to>
      <xdr:col>14</xdr:col>
      <xdr:colOff>717744</xdr:colOff>
      <xdr:row>1</xdr:row>
      <xdr:rowOff>651329</xdr:rowOff>
    </xdr:to>
    <xdr:pic>
      <xdr:nvPicPr>
        <xdr:cNvPr id="2" name="Picture 1">
          <a:extLst>
            <a:ext uri="{FF2B5EF4-FFF2-40B4-BE49-F238E27FC236}">
              <a16:creationId xmlns:a16="http://schemas.microsoft.com/office/drawing/2014/main" id="{A9475E64-CD00-40E0-A10A-A3029706E061}"/>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2985750" y="254000"/>
          <a:ext cx="2093577" cy="61957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16</xdr:col>
      <xdr:colOff>339612</xdr:colOff>
      <xdr:row>12</xdr:row>
      <xdr:rowOff>112836</xdr:rowOff>
    </xdr:from>
    <xdr:to>
      <xdr:col>25</xdr:col>
      <xdr:colOff>144417</xdr:colOff>
      <xdr:row>40</xdr:row>
      <xdr:rowOff>111882</xdr:rowOff>
    </xdr:to>
    <xdr:graphicFrame macro="">
      <xdr:nvGraphicFramePr>
        <xdr:cNvPr id="12" name="Chart 13" descr="Percent of falls with injury by type">
          <a:extLst>
            <a:ext uri="{FF2B5EF4-FFF2-40B4-BE49-F238E27FC236}">
              <a16:creationId xmlns:a16="http://schemas.microsoft.com/office/drawing/2014/main" id="{57491CD0-97FD-4A23-BDB4-75EF97F3E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285961</xdr:colOff>
      <xdr:row>40</xdr:row>
      <xdr:rowOff>194836</xdr:rowOff>
    </xdr:from>
    <xdr:to>
      <xdr:col>16</xdr:col>
      <xdr:colOff>569806</xdr:colOff>
      <xdr:row>54</xdr:row>
      <xdr:rowOff>150072</xdr:rowOff>
    </xdr:to>
    <xdr:graphicFrame macro="">
      <xdr:nvGraphicFramePr>
        <xdr:cNvPr id="13" name="Chart 14" descr="Injury treatment by location">
          <a:extLst>
            <a:ext uri="{FF2B5EF4-FFF2-40B4-BE49-F238E27FC236}">
              <a16:creationId xmlns:a16="http://schemas.microsoft.com/office/drawing/2014/main" id="{DC44844A-99C4-4322-B090-712788B695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93846</xdr:colOff>
      <xdr:row>12</xdr:row>
      <xdr:rowOff>103212</xdr:rowOff>
    </xdr:from>
    <xdr:to>
      <xdr:col>16</xdr:col>
      <xdr:colOff>15844</xdr:colOff>
      <xdr:row>32</xdr:row>
      <xdr:rowOff>82974</xdr:rowOff>
    </xdr:to>
    <xdr:graphicFrame macro="">
      <xdr:nvGraphicFramePr>
        <xdr:cNvPr id="17" name="Chart 16" descr="Falls with injury by type">
          <a:extLst>
            <a:ext uri="{FF2B5EF4-FFF2-40B4-BE49-F238E27FC236}">
              <a16:creationId xmlns:a16="http://schemas.microsoft.com/office/drawing/2014/main" id="{D2D8A3DE-02CB-4FF2-9880-C475F4E8B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11</xdr:col>
      <xdr:colOff>275167</xdr:colOff>
      <xdr:row>1</xdr:row>
      <xdr:rowOff>63500</xdr:rowOff>
    </xdr:from>
    <xdr:to>
      <xdr:col>13</xdr:col>
      <xdr:colOff>675410</xdr:colOff>
      <xdr:row>1</xdr:row>
      <xdr:rowOff>683079</xdr:rowOff>
    </xdr:to>
    <xdr:pic>
      <xdr:nvPicPr>
        <xdr:cNvPr id="2" name="Picture 1">
          <a:extLst>
            <a:ext uri="{FF2B5EF4-FFF2-40B4-BE49-F238E27FC236}">
              <a16:creationId xmlns:a16="http://schemas.microsoft.com/office/drawing/2014/main" id="{36D97C9A-6F36-4492-BA35-062CB0D52FFE}"/>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2922250" y="285750"/>
          <a:ext cx="2093577" cy="6195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QIN-HQIData/Shared%20Documents/HQI%20Data/NH%20Quality%20Measures%20Workgroup/Data/Ad-Hoc%20Requests/Monthly%20Falls%20Tracking%20Template%20version%205.5DS.xlsm" TargetMode="External"/><Relationship Id="rId2" Type="http://schemas.openxmlformats.org/officeDocument/2006/relationships/externalLinkPath" Target="https://hqisolutions-my.sharepoint.com/personal/dschmitz_hqi_solutions/Documents/Documents/Analytics/NH/Monthly%20Falls%20Tracking%20Template%20version%205.5DS.xlsm" TargetMode="External"/><Relationship Id="rId1" Type="http://schemas.openxmlformats.org/officeDocument/2006/relationships/externalLinkPath" Target="/sites/HQIN-HQIData/Shared%20Documents/HQI%20Data/NH%20Quality%20Measures%20Workgroup/Data/Ad-Hoc%20Requests/Monthly%20Falls%20Tracking%20Template%20version%205.5DS.xlsm"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hqisolutions-my.sharepoint.com/personal/dschmitz_hqi_solutions/Documents/Documents/Analytics/NH/temp/NH%20QII%20Monitoring/Diversicare%20Hutchinson%20KS10146_HQIN%20NH%20QII%20Monitoring%20Template_Staff%20Vaccine.xlsx" TargetMode="External"/><Relationship Id="rId2" Type="http://schemas.microsoft.com/office/2019/04/relationships/externalLinkLongPath" Target="/sites/Communications2/Shared%20Documents/General/HQIN/Communications%20Materials/Nursing%20Home/2023/Falls%20Tracking%20Tool/temp/NH%20QII%20Monitoring/Diversicare%20Hutchinson%20KS10146_HQIN%20NH%20QII%20Monitoring%20Template_Staff%20Vaccine.xlsx?F0BB4127" TargetMode="External"/><Relationship Id="rId1" Type="http://schemas.openxmlformats.org/officeDocument/2006/relationships/externalLinkPath" Target="file:///\\F0BB4127\Diversicare%20Hutchinson%20KS10146_HQIN%20NH%20QII%20Monitoring%20Template_Staff%20Vaccine.xlsx" TargetMode="External"/><Relationship Id="rId4" Type="http://schemas.openxmlformats.org/officeDocument/2006/relationships/externalLinkPath" Target="../../../../HQIN/Communications%20Materials/Nursing%20Home/2023/Falls%20Tracking%20Tool/temp/NH%20QII%20Monitoring/Diversicare%20Hutchinson%20KS10146_HQIN%20NH%20QII%20Monitoring%20Template_Staff%20Vaccin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Falls Data Sheet"/>
      <sheetName val="Loc Designation"/>
      <sheetName val="AMDA Potential Causal Factors"/>
      <sheetName val="Misc Codes"/>
      <sheetName val="Entire Facility"/>
      <sheetName val="Location 1"/>
      <sheetName val="Location 2"/>
      <sheetName val="Location 3"/>
      <sheetName val="Location 4"/>
      <sheetName val="Location 5"/>
      <sheetName val="Location 6"/>
      <sheetName val="Location 7"/>
      <sheetName val="Location 8"/>
      <sheetName val="Location 9"/>
      <sheetName val="Location 10"/>
      <sheetName val="Location 11"/>
      <sheetName val="Location 12"/>
      <sheetName val="Location 13"/>
      <sheetName val="Location 14"/>
      <sheetName val="Location 15"/>
      <sheetName val="Location 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relativeUrl r:id="rId4"/>
    </xxl21:alternateUrls>
    <sheetNames>
      <sheetName val="Ref"/>
      <sheetName val="INSTRUCTIONS"/>
      <sheetName val="SUMMARY Rates"/>
      <sheetName val="WEEKLY Rates"/>
    </sheetNames>
    <sheetDataSet>
      <sheetData sheetId="0"/>
      <sheetData sheetId="1" refreshError="1"/>
      <sheetData sheetId="2" refreshError="1"/>
      <sheetData sheetId="3" refreshError="1"/>
    </sheetDataSet>
  </externalBook>
</externalLink>
</file>

<file path=xl/persons/person.xml><?xml version="1.0" encoding="utf-8"?>
<personList xmlns="http://schemas.microsoft.com/office/spreadsheetml/2018/threadedcomments" xmlns:x="http://schemas.openxmlformats.org/spreadsheetml/2006/main">
  <person displayName="Dana Schmitz" id="{8FCCDC37-1E0D-4934-AFC9-A05D417C3C98}" userId="S::dschmitz@hqi.solutions::2e28b6fd-200d-4713-b50b-d16995937603" providerId="AD"/>
  <person displayName="Allison N. Spangler" id="{CBE96747-B2C8-433E-91FB-91DDE3B381E9}" userId="S::aspangler@hqi.solutions::bfd15681-1847-406b-ab7d-0add7f393039"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7" dT="2023-03-09T21:55:05.65" personId="{CBE96747-B2C8-433E-91FB-91DDE3B381E9}" id="{E644816C-5114-4070-8000-4485DB96670A}">
    <text>This is the same as the Falls Summary.  Will this tab go away?</text>
  </threadedComment>
  <threadedComment ref="F7" dT="2023-03-09T22:15:49.85" personId="{8FCCDC37-1E0D-4934-AFC9-A05D417C3C98}" id="{100DB6B2-A196-415E-B3E9-CA0190A8574E}" parentId="{E644816C-5114-4070-8000-4485DB96670A}">
    <text>yes this tab will be hidden</text>
  </threadedComment>
  <threadedComment ref="F7" dT="2023-03-09T22:16:43.46" personId="{8FCCDC37-1E0D-4934-AFC9-A05D417C3C98}" id="{052BC689-2FD7-4FDE-A929-5CC147396F47}" parentId="{E644816C-5114-4070-8000-4485DB96670A}">
    <text>the ref tab will be hidden too</text>
  </threadedComment>
</ThreadedComments>
</file>

<file path=xl/threadedComments/threadedComment2.xml><?xml version="1.0" encoding="utf-8"?>
<ThreadedComments xmlns="http://schemas.microsoft.com/office/spreadsheetml/2018/threadedcomments" xmlns:x="http://schemas.openxmlformats.org/spreadsheetml/2006/main">
  <threadedComment ref="D1" dT="2023-03-09T21:36:57.38" personId="{CBE96747-B2C8-433E-91FB-91DDE3B381E9}" id="{80413149-0A48-4AC3-8911-2F49CB8CA5F7}">
    <text>Please add:  Toileting with Assist and Toileting Without Assist</text>
  </threadedComment>
  <threadedComment ref="M24" dT="2023-03-09T21:33:02.18" personId="{CBE96747-B2C8-433E-91FB-91DDE3B381E9}" id="{D7726D3E-E98D-4E8A-8163-CB4A7FBB8236}">
    <text>This will be either hidden or locked so that facilities can't change?</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hyperlink" Target="https://x.com/HQISolutions" TargetMode="External"/><Relationship Id="rId7" Type="http://schemas.openxmlformats.org/officeDocument/2006/relationships/drawing" Target="../drawings/drawing2.xml"/><Relationship Id="rId2" Type="http://schemas.openxmlformats.org/officeDocument/2006/relationships/hyperlink" Target="https://www.facebook.com/HQINetwork/" TargetMode="External"/><Relationship Id="rId1" Type="http://schemas.openxmlformats.org/officeDocument/2006/relationships/hyperlink" Target="http://www.southeastqinqio.org/" TargetMode="External"/><Relationship Id="rId6" Type="http://schemas.openxmlformats.org/officeDocument/2006/relationships/printerSettings" Target="../printerSettings/printerSettings2.bin"/><Relationship Id="rId5" Type="http://schemas.openxmlformats.org/officeDocument/2006/relationships/hyperlink" Target="https://www.youtube.com/channel/UCgkgjNAAA3gzZslqhDUbI5w" TargetMode="External"/><Relationship Id="rId4" Type="http://schemas.openxmlformats.org/officeDocument/2006/relationships/hyperlink" Target="https://www.linkedin.com/company/15211131"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817B4-6042-4DE1-9D4A-E26CFB681CAE}">
  <dimension ref="A3:V305"/>
  <sheetViews>
    <sheetView topLeftCell="E1" zoomScale="80" zoomScaleNormal="80" workbookViewId="0">
      <selection activeCell="P9" sqref="P9"/>
    </sheetView>
  </sheetViews>
  <sheetFormatPr defaultColWidth="8.85546875" defaultRowHeight="16.5" x14ac:dyDescent="0.3"/>
  <cols>
    <col min="1" max="1" width="3.28515625" style="33" customWidth="1"/>
    <col min="2" max="2" width="2.85546875" style="33" customWidth="1"/>
    <col min="3" max="3" width="36.42578125" style="33" customWidth="1"/>
    <col min="4" max="4" width="29.42578125" style="33" customWidth="1"/>
    <col min="5" max="5" width="18.42578125" style="33" customWidth="1"/>
    <col min="6" max="6" width="13.7109375" style="34" customWidth="1"/>
    <col min="7" max="7" width="13.7109375" style="33" customWidth="1"/>
    <col min="8" max="8" width="13.85546875" style="34" customWidth="1"/>
    <col min="9" max="9" width="16.140625" style="33" customWidth="1"/>
    <col min="10" max="10" width="18.140625" style="33" customWidth="1"/>
    <col min="11" max="11" width="17.28515625" style="33" customWidth="1"/>
    <col min="12" max="13" width="8.85546875" style="33"/>
    <col min="14" max="14" width="13.28515625" style="33" customWidth="1"/>
    <col min="15" max="15" width="9.5703125" style="33" bestFit="1" customWidth="1"/>
    <col min="16" max="16384" width="8.85546875" style="33"/>
  </cols>
  <sheetData>
    <row r="3" spans="2:22" ht="17.25" thickBot="1" x14ac:dyDescent="0.35">
      <c r="B3" s="7"/>
      <c r="C3" s="7"/>
      <c r="D3" s="7"/>
      <c r="E3" s="7"/>
      <c r="F3" s="69"/>
      <c r="G3" s="7"/>
      <c r="H3" s="69"/>
      <c r="I3" s="7"/>
      <c r="J3" s="7"/>
      <c r="K3" s="7"/>
      <c r="L3" s="7"/>
      <c r="M3" s="7"/>
      <c r="N3" s="7"/>
      <c r="O3" s="7"/>
      <c r="P3" s="7"/>
      <c r="Q3" s="7"/>
      <c r="R3" s="7"/>
      <c r="S3" s="7"/>
      <c r="T3" s="7"/>
      <c r="U3" s="7"/>
      <c r="V3" s="7"/>
    </row>
    <row r="4" spans="2:22" ht="60.6" customHeight="1" thickBot="1" x14ac:dyDescent="0.35">
      <c r="B4" s="7"/>
      <c r="C4" s="174" t="s">
        <v>0</v>
      </c>
      <c r="D4" s="175"/>
      <c r="E4" s="175"/>
      <c r="F4" s="175"/>
      <c r="G4" s="175"/>
      <c r="H4" s="175"/>
      <c r="I4" s="175"/>
      <c r="J4" s="175"/>
      <c r="K4" s="175"/>
      <c r="L4" s="175"/>
      <c r="M4" s="175"/>
      <c r="N4" s="175"/>
      <c r="O4" s="176"/>
      <c r="P4" s="7"/>
      <c r="Q4" s="7"/>
      <c r="R4" s="7" t="s">
        <v>1</v>
      </c>
      <c r="S4" s="7"/>
      <c r="T4" s="7"/>
      <c r="U4" s="7"/>
      <c r="V4" s="7"/>
    </row>
    <row r="5" spans="2:22" ht="17.25" thickBot="1" x14ac:dyDescent="0.35">
      <c r="B5" s="7"/>
      <c r="C5" s="7"/>
      <c r="D5" s="7"/>
      <c r="E5" s="7"/>
      <c r="F5" s="69"/>
      <c r="G5" s="7"/>
      <c r="H5" s="69"/>
      <c r="I5" s="7"/>
      <c r="J5" s="7"/>
      <c r="K5" s="7"/>
      <c r="L5" s="7"/>
      <c r="M5" s="7"/>
      <c r="N5" s="7"/>
      <c r="O5" s="7"/>
      <c r="P5" s="7"/>
      <c r="Q5" s="7"/>
      <c r="R5" t="s">
        <v>2</v>
      </c>
      <c r="S5" s="7" t="s">
        <v>3</v>
      </c>
      <c r="T5" s="7" t="str">
        <f>'Falls Summary'!$E$5</f>
        <v>Unit 1</v>
      </c>
      <c r="U5" s="70" t="str">
        <f>'Falls Summary'!$F$5</f>
        <v>Unit 2</v>
      </c>
      <c r="V5" s="7" t="str">
        <f>'Falls Summary'!$G$5</f>
        <v>Unit 3</v>
      </c>
    </row>
    <row r="6" spans="2:22" ht="27.75" thickTop="1" thickBot="1" x14ac:dyDescent="0.5">
      <c r="B6" s="7"/>
      <c r="C6" s="35" t="s">
        <v>4</v>
      </c>
      <c r="D6" s="36"/>
      <c r="E6" s="37" t="s">
        <v>5</v>
      </c>
      <c r="F6" s="38"/>
      <c r="G6" s="37"/>
      <c r="H6" s="69"/>
      <c r="I6" s="7"/>
      <c r="J6" s="7"/>
      <c r="K6" s="7"/>
      <c r="L6" s="7"/>
      <c r="M6" s="7"/>
      <c r="N6" s="7" t="s">
        <v>6</v>
      </c>
      <c r="O6" s="71">
        <f ca="1">TODAY()</f>
        <v>46183</v>
      </c>
      <c r="P6" s="7"/>
      <c r="Q6" s="7"/>
      <c r="R6" s="2">
        <f>IF(Instructions!$B$28="",X6,Instructions!B28)</f>
        <v>46175</v>
      </c>
      <c r="S6" s="22">
        <f>IF(R6="","",COUNTIFS('Falls Data Entry'!$H$6:$H$423,"&lt;&gt;"&amp;" ",'Falls Data Entry'!$H$6:$H$423,"&gt;="&amp;DATE(YEAR(calc!$R6),MONTH(calc!$R6),1),'Falls Data Entry'!$H$6:$H$423,"&lt;="&amp;EOMONTH(DATE(YEAR(calc!$R6),MONTH(calc!$R6),1),0)))</f>
        <v>0</v>
      </c>
      <c r="T6" s="22">
        <f>IF(R6="","",COUNTIFS('Falls Data Entry'!$H$6:$H$423,"&lt;&gt;"&amp;" ",'Falls Data Entry'!$H$6:$H$423,"&gt;="&amp;DATE(YEAR(calc!$R6),MONTH(calc!$R6),1),'Falls Data Entry'!$H$6:$H$423,"&lt;="&amp;EOMONTH(DATE(YEAR(calc!$R6),MONTH(calc!$R6),1),0),'Falls Data Entry'!$A$6:$A$423,$T$5))</f>
        <v>0</v>
      </c>
      <c r="U6" s="22">
        <f>IF(R6="","",COUNTIFS('Falls Data Entry'!$H$6:$H$423,"&lt;&gt;"&amp;" ",'Falls Data Entry'!$H$6:$H$423,"&gt;="&amp;DATE(YEAR(calc!$R6),MONTH(calc!$R6),1),'Falls Data Entry'!$H$6:$H$423,"&lt;="&amp;EOMONTH(DATE(YEAR(calc!$R6),MONTH(calc!$R6),1),0),'Falls Data Entry'!$A$6:$A$423,$U$5))</f>
        <v>0</v>
      </c>
      <c r="V6" s="22">
        <f>IF(R6="","",COUNTIFS('Falls Data Entry'!$H$6:$H$423,"&lt;&gt;"&amp;" ",'Falls Data Entry'!$H$6:$H$423,"&gt;="&amp;DATE(YEAR(calc!$R6),MONTH(calc!$R6),1),'Falls Data Entry'!$H$6:$H$423,"&lt;="&amp;EOMONTH(DATE(YEAR(calc!$R6),MONTH(calc!$R6),1),0),'Falls Data Entry'!$A$6:$A$423,$U$5))</f>
        <v>0</v>
      </c>
    </row>
    <row r="7" spans="2:22" ht="28.15" customHeight="1" thickTop="1" thickBot="1" x14ac:dyDescent="0.35">
      <c r="B7" s="7"/>
      <c r="C7" s="177" t="s">
        <v>7</v>
      </c>
      <c r="D7" s="177"/>
      <c r="E7" s="39" t="str" cm="1">
        <f t="array" ref="E7:H7">'Falls Summary'!S46:V46</f>
        <v>Unit 1</v>
      </c>
      <c r="F7" s="40">
        <v>0</v>
      </c>
      <c r="G7" s="39">
        <v>0</v>
      </c>
      <c r="H7" s="69">
        <v>0</v>
      </c>
      <c r="I7" s="7"/>
      <c r="J7" s="7"/>
      <c r="K7" s="7"/>
      <c r="L7" s="7"/>
      <c r="M7" s="7"/>
      <c r="N7" s="7"/>
      <c r="O7" s="7"/>
      <c r="P7" s="7"/>
      <c r="Q7" s="7"/>
      <c r="R7" s="2" t="str">
        <f>IFERROR(IF(IF(MONTH(R6)=12,DATE(YEAR(R6)+1,1,1),DATE(YEAR(R6),MONTH(R6)+1,1))&lt;MAX('Falls Data Entry'!$H$6:$H$500),IF(MONTH(R6)=12,DATE(YEAR(R6)+1,1,1),DATE(YEAR(R6),MONTH(R6)+1,1)),""),"")</f>
        <v/>
      </c>
      <c r="S7" s="22" t="str">
        <f>IF(R7="","",COUNTIFS('Falls Data Entry'!$H$6:$H$423,"&lt;&gt;"&amp;" ",'Falls Data Entry'!$H$6:$H$423,"&gt;="&amp;DATE(YEAR(calc!$R7),MONTH(calc!$R7),1),'Falls Data Entry'!$H$6:$H$423,"&lt;="&amp;EOMONTH(DATE(YEAR(calc!$R7),MONTH(calc!$R7),1),0)))</f>
        <v/>
      </c>
      <c r="T7" s="22" t="str">
        <f>IF(R7="","",COUNTIFS('Falls Data Entry'!$H$6:$H$423,"&lt;&gt;"&amp;" ",'Falls Data Entry'!$H$6:$H$423,"&gt;="&amp;DATE(YEAR(calc!$R7),MONTH(calc!$R7),1),'Falls Data Entry'!$H$6:$H$423,"&lt;="&amp;EOMONTH(DATE(YEAR(calc!$R7),MONTH(calc!$R7),1),0),'Falls Data Entry'!$A$6:$A$423,$T$5))</f>
        <v/>
      </c>
      <c r="U7" s="22" t="str">
        <f>IF(R7="","",COUNTIFS('Falls Data Entry'!$H$6:$H$423,"&lt;&gt;"&amp;" ",'Falls Data Entry'!$H$6:$H$423,"&gt;="&amp;DATE(YEAR(calc!$R7),MONTH(calc!$R7),1),'Falls Data Entry'!$H$6:$H$423,"&lt;="&amp;EOMONTH(DATE(YEAR(calc!$R7),MONTH(calc!$R7),1),0),'Falls Data Entry'!$A$6:$A$423,$U$5))</f>
        <v/>
      </c>
      <c r="V7" s="22" t="str">
        <f>IF(R7="","",COUNTIFS('Falls Data Entry'!$H$6:$H$423,"&lt;&gt;"&amp;" ",'Falls Data Entry'!$H$6:$H$423,"&gt;="&amp;DATE(YEAR(calc!$R7),MONTH(calc!$R7),1),'Falls Data Entry'!$H$6:$H$423,"&lt;="&amp;EOMONTH(DATE(YEAR(calc!$R7),MONTH(calc!$R7),1),0),'Falls Data Entry'!$A$6:$A$423,$U$5))</f>
        <v/>
      </c>
    </row>
    <row r="8" spans="2:22" ht="23.45" customHeight="1" thickTop="1" thickBot="1" x14ac:dyDescent="0.35">
      <c r="B8" s="7"/>
      <c r="C8" s="72"/>
      <c r="D8" s="72"/>
      <c r="E8" s="7"/>
      <c r="F8" s="69"/>
      <c r="G8" s="7"/>
      <c r="H8" s="69"/>
      <c r="I8" s="7"/>
      <c r="J8" s="7"/>
      <c r="K8" s="7"/>
      <c r="L8" s="7"/>
      <c r="M8" s="7"/>
      <c r="N8" s="7"/>
      <c r="O8" s="7"/>
      <c r="P8" s="7"/>
      <c r="Q8" s="7"/>
      <c r="R8" s="2" t="str">
        <f>IFERROR(IF(IF(MONTH(R7)=12,DATE(YEAR(R7)+1,1,1),DATE(YEAR(R7),MONTH(R7)+1,1))&lt;MAX('Falls Data Entry'!$H$6:$H$500),IF(MONTH(R7)=12,DATE(YEAR(R7)+1,1,1),DATE(YEAR(R7),MONTH(R7)+1,1)),""),"")</f>
        <v/>
      </c>
      <c r="S8" s="22" t="str">
        <f>IF(R8="","",COUNTIFS('Falls Data Entry'!$H$6:$H$423,"&lt;&gt;"&amp;" ",'Falls Data Entry'!$H$6:$H$423,"&gt;="&amp;DATE(YEAR(calc!$R8),MONTH(calc!$R8),1),'Falls Data Entry'!$H$6:$H$423,"&lt;="&amp;EOMONTH(DATE(YEAR(calc!$R8),MONTH(calc!$R8),1),0)))</f>
        <v/>
      </c>
      <c r="T8" s="22" t="str">
        <f>IF(R8="","",COUNTIFS('Falls Data Entry'!$H$6:$H$423,"&lt;&gt;"&amp;" ",'Falls Data Entry'!$H$6:$H$423,"&gt;="&amp;DATE(YEAR(calc!$R8),MONTH(calc!$R8),1),'Falls Data Entry'!$H$6:$H$423,"&lt;="&amp;EOMONTH(DATE(YEAR(calc!$R8),MONTH(calc!$R8),1),0),'Falls Data Entry'!$A$6:$A$423,$T$5))</f>
        <v/>
      </c>
      <c r="U8" s="22" t="str">
        <f>IF(R8="","",COUNTIFS('Falls Data Entry'!$H$6:$H$423,"&lt;&gt;"&amp;" ",'Falls Data Entry'!$H$6:$H$423,"&gt;="&amp;DATE(YEAR(calc!$R8),MONTH(calc!$R8),1),'Falls Data Entry'!$H$6:$H$423,"&lt;="&amp;EOMONTH(DATE(YEAR(calc!$R8),MONTH(calc!$R8),1),0),'Falls Data Entry'!$A$6:$A$423,$U$5))</f>
        <v/>
      </c>
      <c r="V8" s="22" t="str">
        <f>IF(R8="","",COUNTIFS('Falls Data Entry'!$H$6:$H$423,"&lt;&gt;"&amp;" ",'Falls Data Entry'!$H$6:$H$423,"&gt;="&amp;DATE(YEAR(calc!$R8),MONTH(calc!$R8),1),'Falls Data Entry'!$H$6:$H$423,"&lt;="&amp;EOMONTH(DATE(YEAR(calc!$R8),MONTH(calc!$R8),1),0),'Falls Data Entry'!$A$6:$A$423,$U$5))</f>
        <v/>
      </c>
    </row>
    <row r="9" spans="2:22" ht="30.6" customHeight="1" thickTop="1" thickBot="1" x14ac:dyDescent="0.35">
      <c r="B9" s="7"/>
      <c r="C9" s="177" t="s">
        <v>8</v>
      </c>
      <c r="D9" s="177"/>
      <c r="E9" s="73">
        <f>'Falls Summary'!$E$7</f>
        <v>46174</v>
      </c>
      <c r="F9" s="69"/>
      <c r="G9" s="41"/>
      <c r="H9" s="69"/>
      <c r="I9" s="7"/>
      <c r="J9" s="7"/>
      <c r="K9" s="7"/>
      <c r="L9" s="7"/>
      <c r="M9" s="7"/>
      <c r="N9" s="7"/>
      <c r="O9" s="7"/>
      <c r="P9" s="7"/>
      <c r="Q9" s="7"/>
      <c r="R9" s="2" t="str">
        <f>IFERROR(IF(IF(MONTH(R8)=12,DATE(YEAR(R8)+1,1,1),DATE(YEAR(R8),MONTH(R8)+1,1))&lt;MAX('Falls Data Entry'!$H$6:$H$500),IF(MONTH(R8)=12,DATE(YEAR(R8)+1,1,1),DATE(YEAR(R8),MONTH(R8)+1,1)),""),"")</f>
        <v/>
      </c>
      <c r="S9" s="22" t="str">
        <f>IF(R9="","",COUNTIFS('Falls Data Entry'!$H$6:$H$423,"&lt;&gt;"&amp;" ",'Falls Data Entry'!$H$6:$H$423,"&gt;="&amp;DATE(YEAR(calc!$R9),MONTH(calc!$R9),1),'Falls Data Entry'!$H$6:$H$423,"&lt;="&amp;EOMONTH(DATE(YEAR(calc!$R9),MONTH(calc!$R9),1),0)))</f>
        <v/>
      </c>
      <c r="T9" s="22" t="str">
        <f>IF(R9="","",COUNTIFS('Falls Data Entry'!$H$6:$H$423,"&lt;&gt;"&amp;" ",'Falls Data Entry'!$H$6:$H$423,"&gt;="&amp;DATE(YEAR(calc!$R9),MONTH(calc!$R9),1),'Falls Data Entry'!$H$6:$H$423,"&lt;="&amp;EOMONTH(DATE(YEAR(calc!$R9),MONTH(calc!$R9),1),0),'Falls Data Entry'!$A$6:$A$423,$T$5))</f>
        <v/>
      </c>
      <c r="U9" s="22" t="str">
        <f>IF(R9="","",COUNTIFS('Falls Data Entry'!$H$6:$H$423,"&lt;&gt;"&amp;" ",'Falls Data Entry'!$H$6:$H$423,"&gt;="&amp;DATE(YEAR(calc!$R9),MONTH(calc!$R9),1),'Falls Data Entry'!$H$6:$H$423,"&lt;="&amp;EOMONTH(DATE(YEAR(calc!$R9),MONTH(calc!$R9),1),0),'Falls Data Entry'!$A$6:$A$423,$U$5))</f>
        <v/>
      </c>
      <c r="V9" s="22" t="str">
        <f>IF(R9="","",COUNTIFS('Falls Data Entry'!$H$6:$H$423,"&lt;&gt;"&amp;" ",'Falls Data Entry'!$H$6:$H$423,"&gt;="&amp;DATE(YEAR(calc!$R9),MONTH(calc!$R9),1),'Falls Data Entry'!$H$6:$H$423,"&lt;="&amp;EOMONTH(DATE(YEAR(calc!$R9),MONTH(calc!$R9),1),0),'Falls Data Entry'!$A$6:$A$423,$U$5))</f>
        <v/>
      </c>
    </row>
    <row r="10" spans="2:22" ht="29.45" customHeight="1" thickTop="1" thickBot="1" x14ac:dyDescent="0.35">
      <c r="B10" s="7"/>
      <c r="C10" s="177" t="s">
        <v>9</v>
      </c>
      <c r="D10" s="177"/>
      <c r="E10" s="74">
        <f>'Falls Summary'!$E$8</f>
        <v>46023</v>
      </c>
      <c r="F10" s="69"/>
      <c r="G10" s="41"/>
      <c r="H10" s="69"/>
      <c r="I10" s="7"/>
      <c r="J10" s="7"/>
      <c r="K10" s="7"/>
      <c r="L10" s="7"/>
      <c r="M10" s="7"/>
      <c r="N10" s="7"/>
      <c r="O10" s="7"/>
      <c r="P10" s="7"/>
      <c r="Q10" s="7"/>
      <c r="R10" s="2" t="str">
        <f>IFERROR(IF(IF(MONTH(R9)=12,DATE(YEAR(R9)+1,1,1),DATE(YEAR(R9),MONTH(R9)+1,1))&lt;MAX('Falls Data Entry'!$H$6:$H$500),IF(MONTH(R9)=12,DATE(YEAR(R9)+1,1,1),DATE(YEAR(R9),MONTH(R9)+1,1)),""),"")</f>
        <v/>
      </c>
      <c r="S10" s="22" t="str">
        <f>IF(R10="","",COUNTIFS('Falls Data Entry'!$H$6:$H$423,"&lt;&gt;"&amp;" ",'Falls Data Entry'!$H$6:$H$423,"&gt;="&amp;DATE(YEAR(calc!$R10),MONTH(calc!$R10),1),'Falls Data Entry'!$H$6:$H$423,"&lt;="&amp;EOMONTH(DATE(YEAR(calc!$R10),MONTH(calc!$R10),1),0)))</f>
        <v/>
      </c>
      <c r="T10" s="22" t="str">
        <f>IF(R10="","",COUNTIFS('Falls Data Entry'!$H$6:$H$423,"&lt;&gt;"&amp;" ",'Falls Data Entry'!$H$6:$H$423,"&gt;="&amp;DATE(YEAR(calc!$R10),MONTH(calc!$R10),1),'Falls Data Entry'!$H$6:$H$423,"&lt;="&amp;EOMONTH(DATE(YEAR(calc!$R10),MONTH(calc!$R10),1),0),'Falls Data Entry'!$A$6:$A$423,$T$5))</f>
        <v/>
      </c>
      <c r="U10" s="22" t="str">
        <f>IF(R10="","",COUNTIFS('Falls Data Entry'!$H$6:$H$423,"&lt;&gt;"&amp;" ",'Falls Data Entry'!$H$6:$H$423,"&gt;="&amp;DATE(YEAR(calc!$R10),MONTH(calc!$R10),1),'Falls Data Entry'!$H$6:$H$423,"&lt;="&amp;EOMONTH(DATE(YEAR(calc!$R10),MONTH(calc!$R10),1),0),'Falls Data Entry'!$A$6:$A$423,$U$5))</f>
        <v/>
      </c>
      <c r="V10" s="22" t="str">
        <f>IF(R10="","",COUNTIFS('Falls Data Entry'!$H$6:$H$423,"&lt;&gt;"&amp;" ",'Falls Data Entry'!$H$6:$H$423,"&gt;="&amp;DATE(YEAR(calc!$R10),MONTH(calc!$R10),1),'Falls Data Entry'!$H$6:$H$423,"&lt;="&amp;EOMONTH(DATE(YEAR(calc!$R10),MONTH(calc!$R10),1),0),'Falls Data Entry'!$A$6:$A$423,$U$5))</f>
        <v/>
      </c>
    </row>
    <row r="11" spans="2:22" ht="23.45" customHeight="1" thickTop="1" thickBot="1" x14ac:dyDescent="0.35">
      <c r="B11" s="7"/>
      <c r="C11" s="7"/>
      <c r="D11" s="7"/>
      <c r="E11" s="8"/>
      <c r="F11" s="75"/>
      <c r="G11" s="28"/>
      <c r="H11" s="75"/>
      <c r="I11" s="7"/>
      <c r="J11" s="7"/>
      <c r="K11" s="7"/>
      <c r="L11" s="7"/>
      <c r="M11" s="7"/>
      <c r="N11" s="7"/>
      <c r="O11" s="7"/>
      <c r="P11" s="7"/>
      <c r="Q11" s="7"/>
      <c r="R11" s="2" t="str">
        <f>IFERROR(IF(IF(MONTH(R10)=12,DATE(YEAR(R10)+1,1,1),DATE(YEAR(R10),MONTH(R10)+1,1))&lt;MAX('Falls Data Entry'!$H$6:$H$500),IF(MONTH(R10)=12,DATE(YEAR(R10)+1,1,1),DATE(YEAR(R10),MONTH(R10)+1,1)),""),"")</f>
        <v/>
      </c>
      <c r="S11" s="22" t="str">
        <f>IF(R11="","",COUNTIFS('Falls Data Entry'!$H$6:$H$423,"&lt;&gt;"&amp;" ",'Falls Data Entry'!$H$6:$H$423,"&gt;="&amp;DATE(YEAR(calc!$R11),MONTH(calc!$R11),1),'Falls Data Entry'!$H$6:$H$423,"&lt;="&amp;EOMONTH(DATE(YEAR(calc!$R11),MONTH(calc!$R11),1),0)))</f>
        <v/>
      </c>
      <c r="T11" s="22" t="str">
        <f>IF(R11="","",COUNTIFS('Falls Data Entry'!$H$6:$H$423,"&lt;&gt;"&amp;" ",'Falls Data Entry'!$H$6:$H$423,"&gt;="&amp;DATE(YEAR(calc!$R11),MONTH(calc!$R11),1),'Falls Data Entry'!$H$6:$H$423,"&lt;="&amp;EOMONTH(DATE(YEAR(calc!$R11),MONTH(calc!$R11),1),0),'Falls Data Entry'!$A$6:$A$423,$T$5))</f>
        <v/>
      </c>
      <c r="U11" s="22" t="str">
        <f>IF(R11="","",COUNTIFS('Falls Data Entry'!$H$6:$H$423,"&lt;&gt;"&amp;" ",'Falls Data Entry'!$H$6:$H$423,"&gt;="&amp;DATE(YEAR(calc!$R11),MONTH(calc!$R11),1),'Falls Data Entry'!$H$6:$H$423,"&lt;="&amp;EOMONTH(DATE(YEAR(calc!$R11),MONTH(calc!$R11),1),0),'Falls Data Entry'!$A$6:$A$423,$U$5))</f>
        <v/>
      </c>
      <c r="V11" s="22" t="str">
        <f>IF(R11="","",COUNTIFS('Falls Data Entry'!$H$6:$H$423,"&lt;&gt;"&amp;" ",'Falls Data Entry'!$H$6:$H$423,"&gt;="&amp;DATE(YEAR(calc!$R11),MONTH(calc!$R11),1),'Falls Data Entry'!$H$6:$H$423,"&lt;="&amp;EOMONTH(DATE(YEAR(calc!$R11),MONTH(calc!$R11),1),0),'Falls Data Entry'!$A$6:$A$423,$U$5))</f>
        <v/>
      </c>
    </row>
    <row r="12" spans="2:22" ht="21.75" thickTop="1" thickBot="1" x14ac:dyDescent="0.4">
      <c r="B12" s="7"/>
      <c r="C12" s="76" t="s">
        <v>10</v>
      </c>
      <c r="D12" s="77"/>
      <c r="E12" s="168">
        <f>$E$9</f>
        <v>46174</v>
      </c>
      <c r="F12" s="168"/>
      <c r="G12" s="169" t="s">
        <v>11</v>
      </c>
      <c r="H12" s="169"/>
      <c r="I12" s="178" t="s">
        <v>12</v>
      </c>
      <c r="J12" s="164"/>
      <c r="K12" s="164"/>
      <c r="L12" s="179" t="s">
        <v>13</v>
      </c>
      <c r="M12" s="179"/>
      <c r="N12" s="179"/>
      <c r="O12" s="179"/>
      <c r="P12" s="7"/>
      <c r="Q12" s="7"/>
      <c r="R12" s="2" t="str">
        <f>IFERROR(IF(IF(MONTH(R11)=12,DATE(YEAR(R11)+1,1,1),DATE(YEAR(R11),MONTH(R11)+1,1))&lt;MAX('Falls Data Entry'!$H$6:$H$500),IF(MONTH(R11)=12,DATE(YEAR(R11)+1,1,1),DATE(YEAR(R11),MONTH(R11)+1,1)),""),"")</f>
        <v/>
      </c>
      <c r="S12" s="22" t="str">
        <f>IF(R12="","",COUNTIFS('Falls Data Entry'!$H$6:$H$423,"&lt;&gt;"&amp;" ",'Falls Data Entry'!$H$6:$H$423,"&gt;="&amp;DATE(YEAR(calc!$R12),MONTH(calc!$R12),1),'Falls Data Entry'!$H$6:$H$423,"&lt;="&amp;EOMONTH(DATE(YEAR(calc!$R12),MONTH(calc!$R12),1),0)))</f>
        <v/>
      </c>
      <c r="T12" s="22" t="str">
        <f>IF(R12="","",COUNTIFS('Falls Data Entry'!$H$6:$H$423,"&lt;&gt;"&amp;" ",'Falls Data Entry'!$H$6:$H$423,"&gt;="&amp;DATE(YEAR(calc!$R12),MONTH(calc!$R12),1),'Falls Data Entry'!$H$6:$H$423,"&lt;="&amp;EOMONTH(DATE(YEAR(calc!$R12),MONTH(calc!$R12),1),0),'Falls Data Entry'!$A$6:$A$423,$T$5))</f>
        <v/>
      </c>
      <c r="U12" s="22" t="str">
        <f>IF(R12="","",COUNTIFS('Falls Data Entry'!$H$6:$H$423,"&lt;&gt;"&amp;" ",'Falls Data Entry'!$H$6:$H$423,"&gt;="&amp;DATE(YEAR(calc!$R12),MONTH(calc!$R12),1),'Falls Data Entry'!$H$6:$H$423,"&lt;="&amp;EOMONTH(DATE(YEAR(calc!$R12),MONTH(calc!$R12),1),0),'Falls Data Entry'!$A$6:$A$423,$U$5))</f>
        <v/>
      </c>
      <c r="V12" s="22" t="str">
        <f>IF(R12="","",COUNTIFS('Falls Data Entry'!$H$6:$H$423,"&lt;&gt;"&amp;" ",'Falls Data Entry'!$H$6:$H$423,"&gt;="&amp;DATE(YEAR(calc!$R12),MONTH(calc!$R12),1),'Falls Data Entry'!$H$6:$H$423,"&lt;="&amp;EOMONTH(DATE(YEAR(calc!$R12),MONTH(calc!$R12),1),0),'Falls Data Entry'!$A$6:$A$423,$U$5))</f>
        <v/>
      </c>
    </row>
    <row r="13" spans="2:22" ht="18.75" thickTop="1" thickBot="1" x14ac:dyDescent="0.35">
      <c r="B13" s="7"/>
      <c r="C13" s="61"/>
      <c r="D13" s="62"/>
      <c r="E13" s="78" t="s">
        <v>14</v>
      </c>
      <c r="F13" s="79" t="s">
        <v>15</v>
      </c>
      <c r="G13" s="78" t="s">
        <v>14</v>
      </c>
      <c r="H13" s="79" t="s">
        <v>15</v>
      </c>
      <c r="I13" s="178"/>
      <c r="J13" s="164"/>
      <c r="K13" s="164"/>
      <c r="L13" s="179"/>
      <c r="M13" s="179"/>
      <c r="N13" s="179"/>
      <c r="O13" s="179"/>
      <c r="P13" s="7"/>
      <c r="Q13" s="7"/>
      <c r="R13" s="2" t="str">
        <f>IFERROR(IF(IF(MONTH(R12)=12,DATE(YEAR(R12)+1,1,1),DATE(YEAR(R12),MONTH(R12)+1,1))&lt;MAX('Falls Data Entry'!$H$6:$H$500),IF(MONTH(R12)=12,DATE(YEAR(R12)+1,1,1),DATE(YEAR(R12),MONTH(R12)+1,1)),""),"")</f>
        <v/>
      </c>
      <c r="S13" s="22" t="str">
        <f>IF(R13="","",COUNTIFS('Falls Data Entry'!$H$6:$H$423,"&lt;&gt;"&amp;" ",'Falls Data Entry'!$H$6:$H$423,"&gt;="&amp;DATE(YEAR(calc!$R13),MONTH(calc!$R13),1),'Falls Data Entry'!$H$6:$H$423,"&lt;="&amp;EOMONTH(DATE(YEAR(calc!$R13),MONTH(calc!$R13),1),0)))</f>
        <v/>
      </c>
      <c r="T13" s="22" t="str">
        <f>IF(R13="","",COUNTIFS('Falls Data Entry'!$H$6:$H$423,"&lt;&gt;"&amp;" ",'Falls Data Entry'!$H$6:$H$423,"&gt;="&amp;DATE(YEAR(calc!$R13),MONTH(calc!$R13),1),'Falls Data Entry'!$H$6:$H$423,"&lt;="&amp;EOMONTH(DATE(YEAR(calc!$R13),MONTH(calc!$R13),1),0),'Falls Data Entry'!$A$6:$A$423,$T$5))</f>
        <v/>
      </c>
      <c r="U13" s="22" t="str">
        <f>IF(R13="","",COUNTIFS('Falls Data Entry'!$H$6:$H$423,"&lt;&gt;"&amp;" ",'Falls Data Entry'!$H$6:$H$423,"&gt;="&amp;DATE(YEAR(calc!$R13),MONTH(calc!$R13),1),'Falls Data Entry'!$H$6:$H$423,"&lt;="&amp;EOMONTH(DATE(YEAR(calc!$R13),MONTH(calc!$R13),1),0),'Falls Data Entry'!$A$6:$A$423,$U$5))</f>
        <v/>
      </c>
      <c r="V13" s="22" t="str">
        <f>IF(R13="","",COUNTIFS('Falls Data Entry'!$H$6:$H$423,"&lt;&gt;"&amp;" ",'Falls Data Entry'!$H$6:$H$423,"&gt;="&amp;DATE(YEAR(calc!$R13),MONTH(calc!$R13),1),'Falls Data Entry'!$H$6:$H$423,"&lt;="&amp;EOMONTH(DATE(YEAR(calc!$R13),MONTH(calc!$R13),1),0),'Falls Data Entry'!$A$6:$A$423,$U$5))</f>
        <v/>
      </c>
    </row>
    <row r="14" spans="2:22" ht="18" thickTop="1" x14ac:dyDescent="0.3">
      <c r="B14" s="7">
        <v>1</v>
      </c>
      <c r="C14" s="80" t="s">
        <v>16</v>
      </c>
      <c r="D14" s="81" t="s">
        <v>3</v>
      </c>
      <c r="E14" s="22">
        <f>COUNTIFS('Falls Data Entry'!$H$6:$H$423,"&lt;&gt;"&amp;" ",'Falls Data Entry'!$H$6:$H$423,"&gt;="&amp;DATE(YEAR(calc!$E$9),MONTH(calc!$E$9),1),'Falls Data Entry'!$H$6:$H$423,"&lt;="&amp;EOMONTH(DATE(YEAR(calc!$E$9),MONTH(calc!$E$9),1),0))</f>
        <v>0</v>
      </c>
      <c r="F14" s="82" t="str">
        <f>IFERROR(E14/E$14," ")</f>
        <v xml:space="preserve"> </v>
      </c>
      <c r="G14" s="22">
        <f>COUNTIFS('Falls Data Entry'!$H$6:$H$423,"&lt;&gt;"&amp;" ",'Falls Data Entry'!$H$6:$H$423,"&gt;="&amp;DATE(YEAR(VALUE(calc!$E$10)),1,1),'Falls Data Entry'!$H$6:$H$423,"&lt;="&amp;DATE(YEAR(VALUE(calc!$E$10)),12,31))</f>
        <v>0</v>
      </c>
      <c r="H14" s="82" t="str">
        <f>IFERROR(G14/G$14," ")</f>
        <v xml:space="preserve"> </v>
      </c>
      <c r="I14" s="7"/>
      <c r="J14" s="7"/>
      <c r="K14" s="7"/>
      <c r="L14" s="7">
        <f>_xlfn.XLOOKUP(L12,$C$14:$C$29,$B$14:$B$29,"",0)</f>
        <v>4</v>
      </c>
      <c r="M14" s="7"/>
      <c r="N14" s="7"/>
      <c r="O14" s="7"/>
      <c r="P14" s="7"/>
      <c r="Q14" s="7"/>
      <c r="R14" s="2" t="str">
        <f>IFERROR(IF(IF(MONTH(R13)=12,DATE(YEAR(R13)+1,1,1),DATE(YEAR(R13),MONTH(R13)+1,1))&lt;MAX('Falls Data Entry'!$H$6:$H$500),IF(MONTH(R13)=12,DATE(YEAR(R13)+1,1,1),DATE(YEAR(R13),MONTH(R13)+1,1)),""),"")</f>
        <v/>
      </c>
      <c r="S14" s="22" t="str">
        <f>IF(R14="","",COUNTIFS('Falls Data Entry'!$H$6:$H$423,"&lt;&gt;"&amp;" ",'Falls Data Entry'!$H$6:$H$423,"&gt;="&amp;DATE(YEAR(calc!$R14),MONTH(calc!$R14),1),'Falls Data Entry'!$H$6:$H$423,"&lt;="&amp;EOMONTH(DATE(YEAR(calc!$R14),MONTH(calc!$R14),1),0)))</f>
        <v/>
      </c>
      <c r="T14" s="22" t="str">
        <f>IF(R14="","",COUNTIFS('Falls Data Entry'!$H$6:$H$423,"&lt;&gt;"&amp;" ",'Falls Data Entry'!$H$6:$H$423,"&gt;="&amp;DATE(YEAR(calc!$R14),MONTH(calc!$R14),1),'Falls Data Entry'!$H$6:$H$423,"&lt;="&amp;EOMONTH(DATE(YEAR(calc!$R14),MONTH(calc!$R14),1),0),'Falls Data Entry'!$A$6:$A$423,$T$5))</f>
        <v/>
      </c>
      <c r="U14" s="22" t="str">
        <f>IF(R14="","",COUNTIFS('Falls Data Entry'!$H$6:$H$423,"&lt;&gt;"&amp;" ",'Falls Data Entry'!$H$6:$H$423,"&gt;="&amp;DATE(YEAR(calc!$R14),MONTH(calc!$R14),1),'Falls Data Entry'!$H$6:$H$423,"&lt;="&amp;EOMONTH(DATE(YEAR(calc!$R14),MONTH(calc!$R14),1),0),'Falls Data Entry'!$A$6:$A$423,$U$5))</f>
        <v/>
      </c>
      <c r="V14" s="22" t="str">
        <f>IF(R14="","",COUNTIFS('Falls Data Entry'!$H$6:$H$423,"&lt;&gt;"&amp;" ",'Falls Data Entry'!$H$6:$H$423,"&gt;="&amp;DATE(YEAR(calc!$R14),MONTH(calc!$R14),1),'Falls Data Entry'!$H$6:$H$423,"&lt;="&amp;EOMONTH(DATE(YEAR(calc!$R14),MONTH(calc!$R14),1),0),'Falls Data Entry'!$A$6:$A$423,$U$5))</f>
        <v/>
      </c>
    </row>
    <row r="15" spans="2:22" ht="17.25" x14ac:dyDescent="0.3">
      <c r="B15" s="7">
        <v>1</v>
      </c>
      <c r="C15" s="83"/>
      <c r="D15" s="84" t="str">
        <f>IF(ISNONTEXT($E$7),"",$E$7)</f>
        <v>Unit 1</v>
      </c>
      <c r="E15" s="22">
        <f>COUNTIFS('Falls Data Entry'!$H$6:$H$423,"&lt;&gt;"&amp;" ",'Falls Data Entry'!$H$6:$H$423,"&gt;="&amp;DATE(YEAR(calc!$E$9),MONTH(calc!$E$9),1),'Falls Data Entry'!$H$6:$H$423,"&lt;="&amp;EOMONTH(DATE(YEAR(calc!$E$9),MONTH(calc!$E$9),1),0),'Falls Data Entry'!$A$6:$A$423,D15)</f>
        <v>0</v>
      </c>
      <c r="F15" s="82" t="str">
        <f>IFERROR(E15/E$14," ")</f>
        <v xml:space="preserve"> </v>
      </c>
      <c r="G15" s="22">
        <f>COUNTIFS('Falls Data Entry'!$H$6:$H$423,"&lt;&gt;"&amp;" ",'Falls Data Entry'!$H$6:$H$423,"&gt;="&amp;DATE(YEAR(VALUE(calc!$E$10)),1,1),'Falls Data Entry'!$H$6:$H$423,"&lt;="&amp;DATE(YEAR(VALUE(calc!$E$10)),12,31),'Falls Data Entry'!$A$6:$A$423,D15)</f>
        <v>0</v>
      </c>
      <c r="H15" s="82" t="str">
        <f>IFERROR(G15/G$14," ")</f>
        <v xml:space="preserve"> </v>
      </c>
      <c r="I15" s="7"/>
      <c r="J15" s="7"/>
      <c r="K15" s="7"/>
      <c r="L15" s="7"/>
      <c r="M15" s="7"/>
      <c r="N15" s="7"/>
      <c r="O15" s="7"/>
      <c r="P15" s="7"/>
      <c r="Q15" s="7"/>
      <c r="R15" s="2" t="str">
        <f>IFERROR(IF(IF(MONTH(R14)=12,DATE(YEAR(R14)+1,1,1),DATE(YEAR(R14),MONTH(R14)+1,1))&lt;MAX('Falls Data Entry'!$H$6:$H$500),IF(MONTH(R14)=12,DATE(YEAR(R14)+1,1,1),DATE(YEAR(R14),MONTH(R14)+1,1)),""),"")</f>
        <v/>
      </c>
      <c r="S15" s="22" t="str">
        <f>IF(R15="","",COUNTIFS('Falls Data Entry'!$H$6:$H$423,"&lt;&gt;"&amp;" ",'Falls Data Entry'!$H$6:$H$423,"&gt;="&amp;DATE(YEAR(calc!$R15),MONTH(calc!$R15),1),'Falls Data Entry'!$H$6:$H$423,"&lt;="&amp;EOMONTH(DATE(YEAR(calc!$R15),MONTH(calc!$R15),1),0)))</f>
        <v/>
      </c>
      <c r="T15" s="22" t="str">
        <f>IF(R15="","",COUNTIFS('Falls Data Entry'!$H$6:$H$423,"&lt;&gt;"&amp;" ",'Falls Data Entry'!$H$6:$H$423,"&gt;="&amp;DATE(YEAR(calc!$R15),MONTH(calc!$R15),1),'Falls Data Entry'!$H$6:$H$423,"&lt;="&amp;EOMONTH(DATE(YEAR(calc!$R15),MONTH(calc!$R15),1),0),'Falls Data Entry'!$A$6:$A$423,$T$5))</f>
        <v/>
      </c>
      <c r="U15" s="22" t="str">
        <f>IF(R15="","",COUNTIFS('Falls Data Entry'!$H$6:$H$423,"&lt;&gt;"&amp;" ",'Falls Data Entry'!$H$6:$H$423,"&gt;="&amp;DATE(YEAR(calc!$R15),MONTH(calc!$R15),1),'Falls Data Entry'!$H$6:$H$423,"&lt;="&amp;EOMONTH(DATE(YEAR(calc!$R15),MONTH(calc!$R15),1),0),'Falls Data Entry'!$A$6:$A$423,$U$5))</f>
        <v/>
      </c>
      <c r="V15" s="22" t="str">
        <f>IF(R15="","",COUNTIFS('Falls Data Entry'!$H$6:$H$423,"&lt;&gt;"&amp;" ",'Falls Data Entry'!$H$6:$H$423,"&gt;="&amp;DATE(YEAR(calc!$R15),MONTH(calc!$R15),1),'Falls Data Entry'!$H$6:$H$423,"&lt;="&amp;EOMONTH(DATE(YEAR(calc!$R15),MONTH(calc!$R15),1),0),'Falls Data Entry'!$A$6:$A$423,$U$5))</f>
        <v/>
      </c>
    </row>
    <row r="16" spans="2:22" ht="17.25" x14ac:dyDescent="0.3">
      <c r="B16" s="7">
        <v>1</v>
      </c>
      <c r="C16" s="83"/>
      <c r="D16" s="84" t="str">
        <f>IF(ISNONTEXT($F$7),"",$F$7)</f>
        <v/>
      </c>
      <c r="E16" s="22">
        <f>COUNTIFS('Falls Data Entry'!$H$6:$H$423,"&lt;&gt;"&amp;" ",'Falls Data Entry'!$H$6:$H$423,"&gt;="&amp;DATE(YEAR(calc!$E$9),MONTH(calc!$E$9),1),'Falls Data Entry'!$H$6:$H$423,"&lt;="&amp;EOMONTH(DATE(YEAR(calc!$E$9),MONTH(calc!$E$9),1),0),'Falls Data Entry'!$A$6:$A$423,D16)</f>
        <v>0</v>
      </c>
      <c r="F16" s="82" t="str">
        <f>IFERROR(E16/E$14," ")</f>
        <v xml:space="preserve"> </v>
      </c>
      <c r="G16" s="22">
        <f>COUNTIFS('Falls Data Entry'!$H$6:$H$423,"&lt;&gt;"&amp;" ",'Falls Data Entry'!$H$6:$H$423,"&gt;="&amp;DATE(YEAR(VALUE(calc!$E$10)),1,1),'Falls Data Entry'!$H$6:$H$423,"&lt;="&amp;DATE(YEAR(VALUE(calc!$E$10)),12,31),'Falls Data Entry'!$A$6:$A$423,D16)</f>
        <v>0</v>
      </c>
      <c r="H16" s="82" t="str">
        <f t="shared" ref="H16:H17" si="0">IFERROR(G16/G$14," ")</f>
        <v xml:space="preserve"> </v>
      </c>
      <c r="I16" s="7"/>
      <c r="J16" s="81"/>
      <c r="K16" s="85">
        <f>$E$9</f>
        <v>46174</v>
      </c>
      <c r="L16" s="79" t="s">
        <v>11</v>
      </c>
      <c r="M16" s="7"/>
      <c r="N16" s="7"/>
      <c r="O16" s="7"/>
      <c r="P16" s="7"/>
      <c r="Q16" s="7"/>
      <c r="R16" s="2" t="str">
        <f>IFERROR(IF(IF(MONTH(R15)=12,DATE(YEAR(R15)+1,1,1),DATE(YEAR(R15),MONTH(R15)+1,1))&lt;MAX('Falls Data Entry'!$H$6:$H$500),IF(MONTH(R15)=12,DATE(YEAR(R15)+1,1,1),DATE(YEAR(R15),MONTH(R15)+1,1)),""),"")</f>
        <v/>
      </c>
      <c r="S16" s="22" t="str">
        <f>IF(R16="","",COUNTIFS('Falls Data Entry'!$H$6:$H$423,"&lt;&gt;"&amp;" ",'Falls Data Entry'!$H$6:$H$423,"&gt;="&amp;DATE(YEAR(calc!$R16),MONTH(calc!$R16),1),'Falls Data Entry'!$H$6:$H$423,"&lt;="&amp;EOMONTH(DATE(YEAR(calc!$R16),MONTH(calc!$R16),1),0)))</f>
        <v/>
      </c>
      <c r="T16" s="22" t="str">
        <f>IF(R16="","",COUNTIFS('Falls Data Entry'!$H$6:$H$423,"&lt;&gt;"&amp;" ",'Falls Data Entry'!$H$6:$H$423,"&gt;="&amp;DATE(YEAR(calc!$R16),MONTH(calc!$R16),1),'Falls Data Entry'!$H$6:$H$423,"&lt;="&amp;EOMONTH(DATE(YEAR(calc!$R16),MONTH(calc!$R16),1),0),'Falls Data Entry'!$A$6:$A$423,$T$5))</f>
        <v/>
      </c>
      <c r="U16" s="22" t="str">
        <f>IF(R16="","",COUNTIFS('Falls Data Entry'!$H$6:$H$423,"&lt;&gt;"&amp;" ",'Falls Data Entry'!$H$6:$H$423,"&gt;="&amp;DATE(YEAR(calc!$R16),MONTH(calc!$R16),1),'Falls Data Entry'!$H$6:$H$423,"&lt;="&amp;EOMONTH(DATE(YEAR(calc!$R16),MONTH(calc!$R16),1),0),'Falls Data Entry'!$A$6:$A$423,$U$5))</f>
        <v/>
      </c>
      <c r="V16" s="22" t="str">
        <f>IF(R16="","",COUNTIFS('Falls Data Entry'!$H$6:$H$423,"&lt;&gt;"&amp;" ",'Falls Data Entry'!$H$6:$H$423,"&gt;="&amp;DATE(YEAR(calc!$R16),MONTH(calc!$R16),1),'Falls Data Entry'!$H$6:$H$423,"&lt;="&amp;EOMONTH(DATE(YEAR(calc!$R16),MONTH(calc!$R16),1),0),'Falls Data Entry'!$A$6:$A$423,$U$5))</f>
        <v/>
      </c>
    </row>
    <row r="17" spans="2:22" ht="17.25" x14ac:dyDescent="0.3">
      <c r="B17" s="7">
        <v>1</v>
      </c>
      <c r="C17" s="83"/>
      <c r="D17" s="84" t="str">
        <f>IF(ISNONTEXT($G$7),"",$G$7)</f>
        <v/>
      </c>
      <c r="E17" s="22">
        <f>COUNTIFS('Falls Data Entry'!$H$6:$H$423,"&lt;&gt;"&amp;" ",'Falls Data Entry'!$H$6:$H$423,"&gt;="&amp;DATE(YEAR(calc!$E$9),MONTH(calc!$E$9),1),'Falls Data Entry'!$H$6:$H$423,"&lt;="&amp;EOMONTH(DATE(YEAR(calc!$E$9),MONTH(calc!$E$9),1),0),'Falls Data Entry'!$A$6:$A$423,D17)</f>
        <v>0</v>
      </c>
      <c r="F17" s="82" t="str">
        <f>IFERROR(E17/E$14," ")</f>
        <v xml:space="preserve"> </v>
      </c>
      <c r="G17" s="22">
        <f>COUNTIFS('Falls Data Entry'!$H$6:$H$423,"&lt;&gt;"&amp;" ",'Falls Data Entry'!$H$6:$H$423,"&gt;="&amp;DATE(YEAR(VALUE(calc!$E$10)),1,1),'Falls Data Entry'!$H$6:$H$423,"&lt;="&amp;DATE(YEAR(VALUE(calc!$E$10)),12,31),'Falls Data Entry'!$A$6:$A$423,D17)</f>
        <v>0</v>
      </c>
      <c r="H17" s="82" t="str">
        <f t="shared" si="0"/>
        <v xml:space="preserve"> </v>
      </c>
      <c r="I17" s="7"/>
      <c r="J17" s="84" t="str">
        <f>IF(ISNONTEXT($E$7),"",$E$7)</f>
        <v>Unit 1</v>
      </c>
      <c r="K17" s="86" t="str" cm="1">
        <f t="array" ref="K17">_xlfn.XLOOKUP(J17&amp;$L$14,$D$14:$D$29&amp;$B$14:$B$29,$F$14:$F$29,"",0)</f>
        <v xml:space="preserve"> </v>
      </c>
      <c r="L17" s="86" t="str" cm="1">
        <f t="array" ref="L17">_xlfn.XLOOKUP(J17&amp;$L$14,$D$14:$D$29&amp;$B$14:$B$29,$H$14:$H$29,"",0)</f>
        <v xml:space="preserve"> </v>
      </c>
      <c r="M17" s="7"/>
      <c r="N17" s="7"/>
      <c r="O17" s="7"/>
      <c r="P17" s="7"/>
      <c r="Q17" s="7"/>
      <c r="R17" s="2" t="str">
        <f>IFERROR(IF(IF(MONTH(R16)=12,DATE(YEAR(R16)+1,1,1),DATE(YEAR(R16),MONTH(R16)+1,1))&lt;MAX('Falls Data Entry'!$H$6:$H$500),IF(MONTH(R16)=12,DATE(YEAR(R16)+1,1,1),DATE(YEAR(R16),MONTH(R16)+1,1)),""),"")</f>
        <v/>
      </c>
      <c r="S17" s="22" t="str">
        <f>IF(R17="","",COUNTIFS('Falls Data Entry'!$H$6:$H$423,"&lt;&gt;"&amp;" ",'Falls Data Entry'!$H$6:$H$423,"&gt;="&amp;DATE(YEAR(calc!$R17),MONTH(calc!$R17),1),'Falls Data Entry'!$H$6:$H$423,"&lt;="&amp;EOMONTH(DATE(YEAR(calc!$R17),MONTH(calc!$R17),1),0)))</f>
        <v/>
      </c>
      <c r="T17" s="22" t="str">
        <f>IF(R17="","",COUNTIFS('Falls Data Entry'!$H$6:$H$423,"&lt;&gt;"&amp;" ",'Falls Data Entry'!$H$6:$H$423,"&gt;="&amp;DATE(YEAR(calc!$R17),MONTH(calc!$R17),1),'Falls Data Entry'!$H$6:$H$423,"&lt;="&amp;EOMONTH(DATE(YEAR(calc!$R17),MONTH(calc!$R17),1),0),'Falls Data Entry'!$A$6:$A$423,$T$5))</f>
        <v/>
      </c>
      <c r="U17" s="22" t="str">
        <f>IF(R17="","",COUNTIFS('Falls Data Entry'!$H$6:$H$423,"&lt;&gt;"&amp;" ",'Falls Data Entry'!$H$6:$H$423,"&gt;="&amp;DATE(YEAR(calc!$R17),MONTH(calc!$R17),1),'Falls Data Entry'!$H$6:$H$423,"&lt;="&amp;EOMONTH(DATE(YEAR(calc!$R17),MONTH(calc!$R17),1),0),'Falls Data Entry'!$A$6:$A$423,$U$5))</f>
        <v/>
      </c>
      <c r="V17" s="22" t="str">
        <f>IF(R17="","",COUNTIFS('Falls Data Entry'!$H$6:$H$423,"&lt;&gt;"&amp;" ",'Falls Data Entry'!$H$6:$H$423,"&gt;="&amp;DATE(YEAR(calc!$R17),MONTH(calc!$R17),1),'Falls Data Entry'!$H$6:$H$423,"&lt;="&amp;EOMONTH(DATE(YEAR(calc!$R17),MONTH(calc!$R17),1),0),'Falls Data Entry'!$A$6:$A$423,$U$5))</f>
        <v/>
      </c>
    </row>
    <row r="18" spans="2:22" ht="17.25" x14ac:dyDescent="0.3">
      <c r="B18" s="7">
        <v>2</v>
      </c>
      <c r="C18" s="80" t="s">
        <v>17</v>
      </c>
      <c r="D18" s="81" t="s">
        <v>3</v>
      </c>
      <c r="E18" s="22">
        <f>COUNTIFS('Falls Data Entry'!$H$6:$H$423,"&lt;&gt;"&amp;" ",'Falls Data Entry'!$E$6:$E$423,"="&amp;"YES",'Falls Data Entry'!$H$6:$H$423,"&gt;="&amp;DATE(YEAR(calc!$E$9),MONTH(calc!$E$9),1),'Falls Data Entry'!$H$6:$H$423,"&lt;="&amp;EOMONTH(DATE(YEAR(calc!$E$9),MONTH(calc!$E$9),1),0))</f>
        <v>0</v>
      </c>
      <c r="F18" s="82" t="str">
        <f>IFERROR(E18/E$14," ")</f>
        <v xml:space="preserve"> </v>
      </c>
      <c r="G18" s="22">
        <f>COUNTIFS('Falls Data Entry'!$H$6:$H$423,"&lt;&gt;"&amp;" ",'Falls Data Entry'!$E$6:$E$423,"="&amp;"YES",'Falls Data Entry'!$H$6:$H$423,"&gt;="&amp;DATE(YEAR(VALUE(calc!$E$10)),1,1),'Falls Data Entry'!$H$6:$H$423,"&lt;="&amp;DATE(YEAR(VALUE(calc!$E$10)),12,31))</f>
        <v>0</v>
      </c>
      <c r="H18" s="82" t="str">
        <f>IFERROR(G18/G$14," ")</f>
        <v xml:space="preserve"> </v>
      </c>
      <c r="I18" s="7"/>
      <c r="J18" s="84" t="str">
        <f>IF(ISNONTEXT($F$7),"",$F$7)</f>
        <v/>
      </c>
      <c r="K18" s="86" t="str" cm="1">
        <f t="array" ref="K18">_xlfn.XLOOKUP(J18&amp;$L$14,$D$14:$D$29&amp;$B$14:$B$29,$F$14:$F$29,"",0)</f>
        <v xml:space="preserve"> </v>
      </c>
      <c r="L18" s="86" t="str" cm="1">
        <f t="array" ref="L18">_xlfn.XLOOKUP(J18&amp;$L$14,$D$14:$D$29&amp;$B$14:$B$29,$H$14:$H$29,"",0)</f>
        <v xml:space="preserve"> </v>
      </c>
      <c r="M18" s="7"/>
      <c r="N18" s="7"/>
      <c r="O18" s="7"/>
      <c r="P18" s="7"/>
      <c r="Q18" s="7"/>
      <c r="R18" s="7"/>
      <c r="S18" s="7"/>
      <c r="T18" s="7"/>
      <c r="U18" s="7"/>
      <c r="V18" s="7"/>
    </row>
    <row r="19" spans="2:22" ht="17.25" x14ac:dyDescent="0.3">
      <c r="B19" s="7">
        <v>2</v>
      </c>
      <c r="C19" s="83"/>
      <c r="D19" s="84" t="str">
        <f>IF(ISNONTEXT($E$7),"",$E$7)</f>
        <v>Unit 1</v>
      </c>
      <c r="E19" s="22">
        <f>COUNTIFS('Falls Data Entry'!$H$6:$H$423,"&lt;&gt;"&amp;" ",'Falls Data Entry'!$E$6:$E$423,"="&amp;"YES",'Falls Data Entry'!$H$6:$H$423,"&gt;="&amp;DATE(YEAR(calc!$E$9),MONTH(calc!$E$9),1),'Falls Data Entry'!$H$6:$H$423,"&lt;="&amp;EOMONTH(DATE(YEAR(calc!$E$9),MONTH(calc!$E$9),1),0),'Falls Data Entry'!$A$6:$A$423,D19)</f>
        <v>0</v>
      </c>
      <c r="F19" s="82" t="str">
        <f>IFERROR(E19/E$15," ")</f>
        <v xml:space="preserve"> </v>
      </c>
      <c r="G19" s="22">
        <f>COUNTIFS('Falls Data Entry'!$H$6:$H$423,"&lt;&gt;"&amp;" ",'Falls Data Entry'!$E$6:$E$423,"="&amp;"YES",'Falls Data Entry'!$H$6:$H$423,"&gt;="&amp;DATE(YEAR(VALUE(calc!$E$10)),1,1),'Falls Data Entry'!$H$6:$H$423,"&lt;="&amp;DATE(YEAR(VALUE(calc!$E$10)),12,31),'Falls Data Entry'!$A$6:$A$423,D19)</f>
        <v>0</v>
      </c>
      <c r="H19" s="82" t="str">
        <f>IFERROR(G19/G$15," ")</f>
        <v xml:space="preserve"> </v>
      </c>
      <c r="I19" s="7"/>
      <c r="J19" s="84" t="str">
        <f>IF(ISNONTEXT($G$7),"",$G$7)</f>
        <v/>
      </c>
      <c r="K19" s="86" t="str" cm="1">
        <f t="array" ref="K19">_xlfn.XLOOKUP(J19&amp;$L$14,$D$14:$D$29&amp;$B$14:$B$29,$F$14:$F$29,"",0)</f>
        <v xml:space="preserve"> </v>
      </c>
      <c r="L19" s="86" t="str" cm="1">
        <f t="array" ref="L19">_xlfn.XLOOKUP(J19&amp;$L$14,$D$14:$D$29&amp;$B$14:$B$29,$H$14:$H$29,"",0)</f>
        <v xml:space="preserve"> </v>
      </c>
      <c r="M19" s="7"/>
      <c r="N19" s="7"/>
      <c r="O19" s="7"/>
      <c r="P19" s="7"/>
      <c r="Q19" s="7"/>
      <c r="R19" s="7"/>
      <c r="S19" s="7"/>
      <c r="T19" s="7"/>
      <c r="U19" s="7"/>
      <c r="V19" s="7"/>
    </row>
    <row r="20" spans="2:22" ht="17.25" x14ac:dyDescent="0.3">
      <c r="B20" s="7">
        <v>2</v>
      </c>
      <c r="C20" s="83"/>
      <c r="D20" s="84" t="str">
        <f>IF(ISNONTEXT($F$7),"",$F$7)</f>
        <v/>
      </c>
      <c r="E20" s="22">
        <f>COUNTIFS('Falls Data Entry'!$H$6:$H$423,"&lt;&gt;"&amp;" ",'Falls Data Entry'!$E$6:$E$423,"="&amp;"YES",'Falls Data Entry'!$H$6:$H$423,"&gt;="&amp;DATE(YEAR(calc!$E$9),MONTH(calc!$E$9),1),'Falls Data Entry'!$H$6:$H$423,"&lt;="&amp;EOMONTH(DATE(YEAR(calc!$E$9),MONTH(calc!$E$9),1),0),'Falls Data Entry'!$A$6:$A$423,D20)</f>
        <v>0</v>
      </c>
      <c r="F20" s="82" t="str">
        <f>IFERROR(E20/E$16," ")</f>
        <v xml:space="preserve"> </v>
      </c>
      <c r="G20" s="22">
        <f>COUNTIFS('Falls Data Entry'!$H$6:$H$423,"&lt;&gt;"&amp;" ",'Falls Data Entry'!$E$6:$E$423,"="&amp;"YES",'Falls Data Entry'!$H$6:$H$423,"&gt;="&amp;DATE(YEAR(VALUE(calc!$E$10)),1,1),'Falls Data Entry'!$H$6:$H$423,"&lt;="&amp;DATE(YEAR(VALUE(calc!$E$10)),12,31),'Falls Data Entry'!$A$6:$A$423,D20)</f>
        <v>0</v>
      </c>
      <c r="H20" s="82" t="str">
        <f>IFERROR(G20/G$16," ")</f>
        <v xml:space="preserve"> </v>
      </c>
      <c r="I20" s="7"/>
      <c r="J20" s="84" t="s">
        <v>3</v>
      </c>
      <c r="K20" s="45" t="str" cm="1">
        <f t="array" ref="K20">_xlfn.XLOOKUP(J20&amp;$L$14,$D$14:$D$29&amp;$B$14:$B$29,$F$14:$F$29,"",0)</f>
        <v xml:space="preserve"> </v>
      </c>
      <c r="L20" s="45" t="str" cm="1">
        <f t="array" ref="L20">_xlfn.XLOOKUP(J20&amp;$L$14,$D$14:$D$29&amp;$B$14:$B$29,$H$14:$H$29,"",0)</f>
        <v xml:space="preserve"> </v>
      </c>
      <c r="M20" s="7"/>
      <c r="N20" s="7"/>
      <c r="O20" s="7"/>
      <c r="P20" s="7"/>
      <c r="Q20" s="7"/>
      <c r="R20" s="7"/>
      <c r="S20" s="7"/>
      <c r="T20" s="7"/>
      <c r="U20" s="7"/>
      <c r="V20" s="7"/>
    </row>
    <row r="21" spans="2:22" ht="17.25" x14ac:dyDescent="0.3">
      <c r="B21" s="7">
        <v>2</v>
      </c>
      <c r="C21" s="83"/>
      <c r="D21" s="84" t="str">
        <f>IF(ISNONTEXT($G$7),"",$G$7)</f>
        <v/>
      </c>
      <c r="E21" s="22">
        <f>COUNTIFS('Falls Data Entry'!$H$6:$H$423,"&lt;&gt;"&amp;" ",'Falls Data Entry'!$E$6:$E$423,"="&amp;"YES",'Falls Data Entry'!$H$6:$H$423,"&gt;="&amp;DATE(YEAR(calc!$E$9),MONTH(calc!$E$9),1),'Falls Data Entry'!$H$6:$H$423,"&lt;="&amp;EOMONTH(DATE(YEAR(calc!$E$9),MONTH(calc!$E$9),1),0),'Falls Data Entry'!$A$6:$A$423,D21)</f>
        <v>0</v>
      </c>
      <c r="F21" s="82" t="str">
        <f>IFERROR(E21/E$17," ")</f>
        <v xml:space="preserve"> </v>
      </c>
      <c r="G21" s="22">
        <f>COUNTIFS('Falls Data Entry'!$H$6:$H$423,"&lt;&gt;"&amp;" ",'Falls Data Entry'!$E$6:$E$423,"="&amp;"YES",'Falls Data Entry'!$H$6:$H$423,"&gt;="&amp;DATE(YEAR(VALUE(calc!$E$10)),1,1),'Falls Data Entry'!$H$6:$H$423,"&lt;="&amp;DATE(YEAR(VALUE(calc!$E$10)),12,31),'Falls Data Entry'!$A$6:$A$423,D21)</f>
        <v>0</v>
      </c>
      <c r="H21" s="82" t="str">
        <f>IFERROR(G21/G$17," ")</f>
        <v xml:space="preserve"> </v>
      </c>
      <c r="I21" s="7"/>
      <c r="J21" s="7"/>
      <c r="K21" s="7"/>
      <c r="L21" s="7"/>
      <c r="M21" s="7"/>
      <c r="N21" s="7"/>
      <c r="O21" s="7"/>
      <c r="P21" s="7"/>
      <c r="Q21" s="7"/>
      <c r="R21" s="7"/>
      <c r="S21" s="7"/>
      <c r="T21" s="7"/>
      <c r="U21" s="7"/>
      <c r="V21" s="7"/>
    </row>
    <row r="22" spans="2:22" ht="17.25" x14ac:dyDescent="0.3">
      <c r="B22" s="7">
        <v>3</v>
      </c>
      <c r="C22" s="80" t="s">
        <v>18</v>
      </c>
      <c r="D22" s="81" t="s">
        <v>3</v>
      </c>
      <c r="E22" s="22">
        <f>COUNTIFS('Falls Data Entry'!$H$6:$H$423,"&lt;&gt;"&amp;" ",'Falls Data Entry'!$P$6:$P$423,"="&amp;"YES",'Falls Data Entry'!$H$6:$H$423,"&gt;="&amp;DATE(YEAR(calc!$E$9),MONTH(calc!$E$9),1),'Falls Data Entry'!$H$6:$H$423,"&lt;="&amp;EOMONTH(DATE(YEAR(calc!$E$9),MONTH(calc!$E$9),1),0))</f>
        <v>0</v>
      </c>
      <c r="F22" s="82" t="str">
        <f>IFERROR(E22/E$14," ")</f>
        <v xml:space="preserve"> </v>
      </c>
      <c r="G22" s="22">
        <f>COUNTIFS('Falls Data Entry'!$H$6:$H$423,"&lt;&gt;"&amp;" ",'Falls Data Entry'!$P$6:$P$423,"="&amp;"YES",'Falls Data Entry'!$H$6:$H$423,"&gt;="&amp;DATE(YEAR(VALUE(calc!$E$10)),1,1),'Falls Data Entry'!$H$6:$H$423,"&lt;="&amp;DATE(YEAR(VALUE(calc!$E$10)),12,31))</f>
        <v>0</v>
      </c>
      <c r="H22" s="82" t="str">
        <f>IFERROR(G22/G$14," ")</f>
        <v xml:space="preserve"> </v>
      </c>
      <c r="I22" s="7"/>
      <c r="J22" s="7"/>
      <c r="K22" s="7"/>
      <c r="L22" s="7"/>
      <c r="M22" s="7"/>
      <c r="N22" s="7"/>
      <c r="O22" s="7"/>
      <c r="P22" s="7"/>
      <c r="Q22" s="7"/>
      <c r="R22" s="7"/>
      <c r="S22" s="7"/>
      <c r="T22" s="7"/>
      <c r="U22" s="7"/>
      <c r="V22" s="7"/>
    </row>
    <row r="23" spans="2:22" ht="17.25" x14ac:dyDescent="0.3">
      <c r="B23" s="7">
        <v>3</v>
      </c>
      <c r="C23" s="83"/>
      <c r="D23" s="84" t="str">
        <f>IF(ISNONTEXT($E$7),"",$E$7)</f>
        <v>Unit 1</v>
      </c>
      <c r="E23" s="22">
        <f>COUNTIFS('Falls Data Entry'!$H$6:$H$423,"&lt;&gt;"&amp;" ",'Falls Data Entry'!$P$6:$P$423,"="&amp;"YES",'Falls Data Entry'!$H$6:$H$423,"&gt;="&amp;DATE(YEAR(calc!$E$9),MONTH(calc!$E$9),1),'Falls Data Entry'!$H$6:$H$423,"&lt;="&amp;EOMONTH(DATE(YEAR(calc!$E$9),MONTH(calc!$E$9),1),0),'Falls Data Entry'!$A$6:$A$423,D23)</f>
        <v>0</v>
      </c>
      <c r="F23" s="82" t="str">
        <f>IFERROR(E23/E$15," ")</f>
        <v xml:space="preserve"> </v>
      </c>
      <c r="G23" s="22">
        <f>COUNTIFS('Falls Data Entry'!$H$6:$H$423,"&lt;&gt;"&amp;" ",'Falls Data Entry'!$P$6:$P$423,"="&amp;"YES",'Falls Data Entry'!$H$6:$H$423,"&gt;="&amp;DATE(YEAR(VALUE(calc!$E$10)),1,1),'Falls Data Entry'!$H$6:$H$423,"&lt;="&amp;DATE(YEAR(VALUE(calc!$E$10)),12,31),'Falls Data Entry'!$A$6:$A$423,D23)</f>
        <v>0</v>
      </c>
      <c r="H23" s="82" t="str">
        <f>IFERROR(G23/G$15," ")</f>
        <v xml:space="preserve"> </v>
      </c>
      <c r="I23" s="7"/>
      <c r="J23" s="7"/>
      <c r="K23" s="7"/>
      <c r="L23" s="7"/>
      <c r="M23" s="7"/>
      <c r="N23" s="7"/>
      <c r="O23" s="7"/>
      <c r="P23" s="7"/>
      <c r="Q23" s="7"/>
      <c r="R23" s="7"/>
      <c r="S23" s="7"/>
      <c r="T23" s="7"/>
      <c r="U23" s="7"/>
      <c r="V23" s="7"/>
    </row>
    <row r="24" spans="2:22" ht="17.25" x14ac:dyDescent="0.3">
      <c r="B24" s="7">
        <v>3</v>
      </c>
      <c r="C24" s="83"/>
      <c r="D24" s="84" t="str">
        <f>IF(ISNONTEXT($F$7),"",$F$7)</f>
        <v/>
      </c>
      <c r="E24" s="22">
        <f>COUNTIFS('Falls Data Entry'!$H$6:$H$423,"&lt;&gt;"&amp;" ",'Falls Data Entry'!$P$6:$P$423,"="&amp;"YES",'Falls Data Entry'!$H$6:$H$423,"&gt;="&amp;DATE(YEAR(calc!$E$9),MONTH(calc!$E$9),1),'Falls Data Entry'!$H$6:$H$423,"&lt;="&amp;EOMONTH(DATE(YEAR(calc!$E$9),MONTH(calc!$E$9),1),0),'Falls Data Entry'!$A$6:$A$423,D24)</f>
        <v>0</v>
      </c>
      <c r="F24" s="82" t="str">
        <f>IFERROR(E24/E$16," ")</f>
        <v xml:space="preserve"> </v>
      </c>
      <c r="G24" s="22">
        <f>COUNTIFS('Falls Data Entry'!$H$6:$H$423,"&lt;&gt;"&amp;" ",'Falls Data Entry'!$P$6:$P$423,"="&amp;"YES",'Falls Data Entry'!$H$6:$H$423,"&gt;="&amp;DATE(YEAR(VALUE(calc!$E$10)),1,1),'Falls Data Entry'!$H$6:$H$423,"&lt;="&amp;DATE(YEAR(VALUE(calc!$E$10)),12,31),'Falls Data Entry'!$A$6:$A$423,D24)</f>
        <v>0</v>
      </c>
      <c r="H24" s="82" t="str">
        <f>IFERROR(G24/G$16," ")</f>
        <v xml:space="preserve"> </v>
      </c>
      <c r="I24" s="7"/>
      <c r="J24" s="7"/>
      <c r="K24" s="7"/>
      <c r="L24" s="7"/>
      <c r="M24" s="7"/>
      <c r="N24" s="7"/>
      <c r="O24" s="7"/>
      <c r="P24" s="7"/>
      <c r="Q24" s="7"/>
      <c r="R24" s="7"/>
      <c r="S24" s="7"/>
      <c r="T24" s="7"/>
      <c r="U24" s="7"/>
      <c r="V24" s="7"/>
    </row>
    <row r="25" spans="2:22" ht="17.25" x14ac:dyDescent="0.3">
      <c r="B25" s="7">
        <v>3</v>
      </c>
      <c r="C25" s="83"/>
      <c r="D25" s="84" t="str">
        <f>IF(ISNONTEXT($G$7),"",$G$7)</f>
        <v/>
      </c>
      <c r="E25" s="22">
        <f>COUNTIFS('Falls Data Entry'!$H$6:$H$423,"&lt;&gt;"&amp;" ",'Falls Data Entry'!$P$6:$P$423,"="&amp;"YES",'Falls Data Entry'!$H$6:$H$423,"&gt;="&amp;DATE(YEAR(calc!$E$9),MONTH(calc!$E$9),1),'Falls Data Entry'!$H$6:$H$423,"&lt;="&amp;EOMONTH(DATE(YEAR(calc!$E$9),MONTH(calc!$E$9),1),0),'Falls Data Entry'!$A$6:$A$423,D25)</f>
        <v>0</v>
      </c>
      <c r="F25" s="82" t="str">
        <f>IFERROR(E25/E$17," ")</f>
        <v xml:space="preserve"> </v>
      </c>
      <c r="G25" s="22">
        <f>COUNTIFS('Falls Data Entry'!$H$6:$H$423,"&lt;&gt;"&amp;" ",'Falls Data Entry'!$P$6:$P$423,"="&amp;"YES",'Falls Data Entry'!$H$6:$H$423,"&gt;="&amp;DATE(YEAR(VALUE(calc!$E$10)),1,1),'Falls Data Entry'!$H$6:$H$423,"&lt;="&amp;DATE(YEAR(VALUE(calc!$E$10)),12,31),'Falls Data Entry'!$A$6:$A$423,D25)</f>
        <v>0</v>
      </c>
      <c r="H25" s="82" t="str">
        <f>IFERROR(G25/G$17," ")</f>
        <v xml:space="preserve"> </v>
      </c>
      <c r="I25" s="7"/>
      <c r="J25" s="7"/>
      <c r="K25" s="7"/>
      <c r="L25" s="7"/>
      <c r="M25" s="7"/>
      <c r="N25" s="7"/>
      <c r="O25" s="7"/>
      <c r="P25" s="7"/>
      <c r="Q25" s="7"/>
      <c r="R25" s="7"/>
      <c r="S25" s="7"/>
      <c r="T25" s="7"/>
      <c r="U25" s="7"/>
      <c r="V25" s="7"/>
    </row>
    <row r="26" spans="2:22" ht="17.25" x14ac:dyDescent="0.3">
      <c r="B26" s="7">
        <v>4</v>
      </c>
      <c r="C26" s="80" t="s">
        <v>13</v>
      </c>
      <c r="D26" s="81" t="s">
        <v>3</v>
      </c>
      <c r="E26" s="22">
        <f>COUNTIFS('Falls Data Entry'!$H$6:$H$423,"&lt;&gt;"&amp;" ",'Falls Data Entry'!$I$6:$I$423,"="&amp;"YES",'Falls Data Entry'!$H$6:$H$423,"&gt;="&amp;DATE(YEAR(calc!$E$9),MONTH(calc!$E$9),1),'Falls Data Entry'!$H$6:$H$423,"&lt;="&amp;EOMONTH(DATE(YEAR(calc!$E$9),MONTH(calc!$E$9),1),0))</f>
        <v>0</v>
      </c>
      <c r="F26" s="82" t="str">
        <f>IFERROR(E26/E$14," ")</f>
        <v xml:space="preserve"> </v>
      </c>
      <c r="G26" s="22">
        <f>COUNTIFS('Falls Data Entry'!$H$6:$H$423,"&lt;&gt;"&amp;" ",'Falls Data Entry'!$I$6:$I$423,"="&amp;"YES",'Falls Data Entry'!$H$6:$H$423,"&gt;="&amp;DATE(YEAR(VALUE(calc!$E$10)),1,1),'Falls Data Entry'!$H$6:$H$423,"&lt;="&amp;DATE(YEAR(VALUE(calc!$E$10)),12,31))</f>
        <v>0</v>
      </c>
      <c r="H26" s="82" t="str">
        <f>IFERROR(G26/G$14," ")</f>
        <v xml:space="preserve"> </v>
      </c>
      <c r="I26" s="7"/>
      <c r="J26" s="7"/>
      <c r="K26" s="7"/>
      <c r="L26" s="7"/>
      <c r="M26" s="7"/>
      <c r="N26" s="7"/>
      <c r="O26" s="7"/>
      <c r="P26" s="7"/>
      <c r="Q26" s="7"/>
      <c r="R26" s="2"/>
      <c r="S26" s="22"/>
      <c r="T26" s="22"/>
      <c r="U26" s="22"/>
      <c r="V26" s="22"/>
    </row>
    <row r="27" spans="2:22" ht="17.25" x14ac:dyDescent="0.3">
      <c r="B27" s="7">
        <v>4</v>
      </c>
      <c r="C27" s="42" t="s">
        <v>17</v>
      </c>
      <c r="D27" s="84" t="str">
        <f>IF(ISNONTEXT($E$7),"",$E$7)</f>
        <v>Unit 1</v>
      </c>
      <c r="E27" s="22">
        <f>COUNTIFS('Falls Data Entry'!$H$6:$H$423,"&lt;&gt;"&amp;" ",'Falls Data Entry'!$I$6:$I$423,"="&amp;"YES",'Falls Data Entry'!$H$6:$H$423,"&gt;="&amp;DATE(YEAR(calc!$E$9),MONTH(calc!$E$9),1),'Falls Data Entry'!$H$6:$H$423,"&lt;="&amp;EOMONTH(DATE(YEAR(calc!$E$9),MONTH(calc!$E$9),1),0),'Falls Data Entry'!$A$6:$A$423,D27)</f>
        <v>0</v>
      </c>
      <c r="F27" s="82" t="str">
        <f>IFERROR(E27/E$15," ")</f>
        <v xml:space="preserve"> </v>
      </c>
      <c r="G27" s="22">
        <f>COUNTIFS('Falls Data Entry'!$H$6:$H$423,"&lt;&gt;"&amp;" ",'Falls Data Entry'!$I$6:$I$423,"="&amp;"YES",'Falls Data Entry'!$H$6:$H$423,"&gt;="&amp;DATE(YEAR(VALUE(calc!$E$10)),1,1),'Falls Data Entry'!$H$6:$H$423,"&lt;="&amp;DATE(YEAR(VALUE(calc!$E$10)),12,31),'Falls Data Entry'!$A$6:$A$423,D27)</f>
        <v>0</v>
      </c>
      <c r="H27" s="82" t="str">
        <f>IFERROR(G27/G$15," ")</f>
        <v xml:space="preserve"> </v>
      </c>
      <c r="I27" s="7"/>
      <c r="J27" s="7"/>
      <c r="K27" s="7"/>
      <c r="L27" s="7"/>
      <c r="M27" s="7"/>
      <c r="N27" s="7"/>
      <c r="O27" s="7"/>
      <c r="P27" s="7"/>
      <c r="Q27" s="7"/>
      <c r="R27" s="2"/>
      <c r="S27" s="22"/>
      <c r="T27" s="22"/>
      <c r="U27" s="22"/>
      <c r="V27" s="22"/>
    </row>
    <row r="28" spans="2:22" ht="17.25" x14ac:dyDescent="0.3">
      <c r="B28" s="7">
        <v>4</v>
      </c>
      <c r="C28" s="42" t="s">
        <v>18</v>
      </c>
      <c r="D28" s="84" t="str">
        <f>IF(ISNONTEXT($F$7),"",$F$7)</f>
        <v/>
      </c>
      <c r="E28" s="22">
        <f>COUNTIFS('Falls Data Entry'!$H$6:$H$423,"&lt;&gt;"&amp;" ",'Falls Data Entry'!$I$6:$I$423,"="&amp;"YES",'Falls Data Entry'!$H$6:$H$423,"&gt;="&amp;DATE(YEAR(calc!$E$9),MONTH(calc!$E$9),1),'Falls Data Entry'!$H$6:$H$423,"&lt;="&amp;EOMONTH(DATE(YEAR(calc!$E$9),MONTH(calc!$E$9),1),0),'Falls Data Entry'!$A$6:$A$423,D28)</f>
        <v>0</v>
      </c>
      <c r="F28" s="82" t="str">
        <f>IFERROR(E28/E$16," ")</f>
        <v xml:space="preserve"> </v>
      </c>
      <c r="G28" s="22">
        <f>COUNTIFS('Falls Data Entry'!$H$6:$H$423,"&lt;&gt;"&amp;" ",'Falls Data Entry'!$I$6:$I$423,"="&amp;"YES",'Falls Data Entry'!$H$6:$H$423,"&gt;="&amp;DATE(YEAR(VALUE(calc!$E$10)),1,1),'Falls Data Entry'!$H$6:$H$423,"&lt;="&amp;DATE(YEAR(VALUE(calc!$E$10)),12,31),'Falls Data Entry'!$A$6:$A$423,D28)</f>
        <v>0</v>
      </c>
      <c r="H28" s="82" t="str">
        <f>IFERROR(G28/G$16," ")</f>
        <v xml:space="preserve"> </v>
      </c>
      <c r="I28" s="7"/>
      <c r="J28" s="7"/>
      <c r="K28" s="7"/>
      <c r="L28" s="7"/>
      <c r="M28" s="7"/>
      <c r="N28" s="7"/>
      <c r="O28" s="7"/>
      <c r="P28" s="7"/>
      <c r="Q28" s="7"/>
      <c r="R28" s="2"/>
      <c r="S28" s="22"/>
      <c r="T28" s="22"/>
      <c r="U28" s="22"/>
      <c r="V28" s="22"/>
    </row>
    <row r="29" spans="2:22" ht="17.25" x14ac:dyDescent="0.3">
      <c r="B29" s="7">
        <v>4</v>
      </c>
      <c r="C29" s="43" t="s">
        <v>13</v>
      </c>
      <c r="D29" s="84" t="str">
        <f>IF(ISNONTEXT($G$7),"",$G$7)</f>
        <v/>
      </c>
      <c r="E29" s="22">
        <f>COUNTIFS('Falls Data Entry'!$H$6:$H$423,"&lt;&gt;"&amp;" ",'Falls Data Entry'!$I$6:$I$423,"="&amp;"YES",'Falls Data Entry'!$H$6:$H$423,"&gt;="&amp;DATE(YEAR(calc!$E$9),MONTH(calc!$E$9),1),'Falls Data Entry'!$H$6:$H$423,"&lt;="&amp;EOMONTH(DATE(YEAR(calc!$E$9),MONTH(calc!$E$9),1),0),'Falls Data Entry'!$A$6:$A$423,D29)</f>
        <v>0</v>
      </c>
      <c r="F29" s="82" t="str">
        <f>IFERROR(E29/E$17," ")</f>
        <v xml:space="preserve"> </v>
      </c>
      <c r="G29" s="22">
        <f>COUNTIFS('Falls Data Entry'!$H$6:$H$423,"&lt;&gt;"&amp;" ",'Falls Data Entry'!$I$6:$I$423,"="&amp;"YES",'Falls Data Entry'!$H$6:$H$423,"&gt;="&amp;DATE(YEAR(VALUE(calc!$E$10)),1,1),'Falls Data Entry'!$H$6:$H$423,"&lt;="&amp;DATE(YEAR(VALUE(calc!$E$10)),12,31),'Falls Data Entry'!$A$6:$A$423,D29)</f>
        <v>0</v>
      </c>
      <c r="H29" s="82" t="str">
        <f>IFERROR(G29/G$17," ")</f>
        <v xml:space="preserve"> </v>
      </c>
      <c r="I29" s="7"/>
      <c r="J29" s="7"/>
      <c r="K29" s="7"/>
      <c r="L29" s="7"/>
      <c r="M29" s="7"/>
      <c r="N29" s="7"/>
      <c r="O29" s="7"/>
      <c r="P29" s="7"/>
      <c r="Q29" s="7"/>
      <c r="R29" s="2"/>
      <c r="S29" s="22"/>
      <c r="T29" s="22"/>
      <c r="U29" s="22"/>
      <c r="V29" s="22"/>
    </row>
    <row r="30" spans="2:22" x14ac:dyDescent="0.3">
      <c r="B30" s="7"/>
      <c r="C30" s="7"/>
      <c r="D30" s="7"/>
      <c r="E30" s="7"/>
      <c r="F30" s="69"/>
      <c r="G30" s="7"/>
      <c r="H30" s="69"/>
      <c r="I30" s="7"/>
      <c r="J30" s="7"/>
      <c r="K30" s="7"/>
      <c r="L30" s="7"/>
      <c r="M30" s="7"/>
      <c r="N30" s="7"/>
      <c r="O30" s="7"/>
      <c r="P30" s="7"/>
      <c r="Q30" s="7"/>
      <c r="R30" s="2"/>
      <c r="S30" s="22"/>
      <c r="T30" s="22"/>
      <c r="U30" s="22"/>
      <c r="V30" s="22"/>
    </row>
    <row r="31" spans="2:22" x14ac:dyDescent="0.3">
      <c r="B31" s="7"/>
      <c r="C31" s="7"/>
      <c r="D31" s="7"/>
      <c r="E31" s="7"/>
      <c r="F31" s="69"/>
      <c r="G31" s="7"/>
      <c r="H31" s="69"/>
      <c r="I31" s="7"/>
      <c r="J31" s="7"/>
      <c r="K31" s="7"/>
      <c r="L31" s="7"/>
      <c r="M31" s="7"/>
      <c r="N31" s="7"/>
      <c r="O31" s="7"/>
      <c r="P31" s="7"/>
      <c r="Q31" s="7"/>
      <c r="R31" s="2"/>
      <c r="S31" s="22"/>
      <c r="T31" s="22"/>
      <c r="U31" s="22"/>
      <c r="V31" s="22"/>
    </row>
    <row r="32" spans="2:22" ht="37.9" customHeight="1" x14ac:dyDescent="0.3">
      <c r="B32" s="7"/>
      <c r="C32" s="7"/>
      <c r="D32" s="7"/>
      <c r="E32" s="7"/>
      <c r="F32" s="69"/>
      <c r="G32" s="7"/>
      <c r="H32" s="69"/>
      <c r="I32" s="7"/>
      <c r="J32" s="7"/>
      <c r="K32" s="7"/>
      <c r="L32" s="7"/>
      <c r="M32" s="7"/>
      <c r="N32" s="7"/>
      <c r="O32" s="7"/>
      <c r="P32" s="7"/>
      <c r="Q32" s="7"/>
      <c r="R32" s="2"/>
      <c r="S32" s="22"/>
      <c r="T32" s="22"/>
      <c r="U32" s="22"/>
      <c r="V32" s="22"/>
    </row>
    <row r="33" spans="1:22" x14ac:dyDescent="0.3">
      <c r="A33" s="7"/>
      <c r="B33" s="7"/>
      <c r="C33" s="7"/>
      <c r="D33" s="7"/>
      <c r="E33" s="7"/>
      <c r="F33" s="69"/>
      <c r="G33" s="7"/>
      <c r="H33" s="69"/>
      <c r="I33" s="7"/>
      <c r="J33" s="7"/>
      <c r="K33" s="7"/>
      <c r="L33" s="7"/>
      <c r="M33" s="7"/>
      <c r="N33" s="7"/>
      <c r="O33" s="7"/>
      <c r="P33" s="7"/>
      <c r="Q33" s="7"/>
      <c r="R33" s="2"/>
      <c r="S33" s="22"/>
      <c r="T33" s="22"/>
      <c r="U33" s="22"/>
      <c r="V33" s="22"/>
    </row>
    <row r="34" spans="1:22" ht="21" thickBot="1" x14ac:dyDescent="0.4">
      <c r="A34" s="7"/>
      <c r="B34" s="7"/>
      <c r="C34" s="76" t="s">
        <v>19</v>
      </c>
      <c r="D34" s="44"/>
      <c r="E34" s="168">
        <f>$E$9</f>
        <v>46174</v>
      </c>
      <c r="F34" s="168"/>
      <c r="G34" s="169" t="s">
        <v>11</v>
      </c>
      <c r="H34" s="169"/>
      <c r="I34" s="7"/>
      <c r="J34" s="7"/>
      <c r="K34" s="7"/>
      <c r="L34" s="7"/>
      <c r="M34" s="7"/>
      <c r="N34" s="7"/>
      <c r="O34" s="7"/>
      <c r="P34" s="7"/>
      <c r="Q34" s="7"/>
      <c r="R34" s="2"/>
      <c r="S34" s="22"/>
      <c r="T34" s="22"/>
      <c r="U34" s="22"/>
      <c r="V34" s="22"/>
    </row>
    <row r="35" spans="1:22" ht="67.900000000000006" customHeight="1" thickTop="1" thickBot="1" x14ac:dyDescent="0.35">
      <c r="A35" s="7"/>
      <c r="B35" s="7"/>
      <c r="C35" s="87"/>
      <c r="D35" s="7"/>
      <c r="E35" s="88" t="s">
        <v>20</v>
      </c>
      <c r="F35" s="89" t="s">
        <v>21</v>
      </c>
      <c r="G35" s="88" t="s">
        <v>20</v>
      </c>
      <c r="H35" s="89" t="s">
        <v>21</v>
      </c>
      <c r="I35" s="7"/>
      <c r="J35" s="164" t="s">
        <v>22</v>
      </c>
      <c r="K35" s="164"/>
      <c r="L35" s="165" t="s">
        <v>23</v>
      </c>
      <c r="M35" s="166"/>
      <c r="N35" s="166"/>
      <c r="O35" s="167"/>
      <c r="P35" s="7"/>
      <c r="Q35" s="7"/>
      <c r="R35" s="2"/>
      <c r="S35" s="22"/>
      <c r="T35" s="22"/>
      <c r="U35" s="22"/>
      <c r="V35" s="22"/>
    </row>
    <row r="36" spans="1:22" ht="18.75" thickTop="1" thickBot="1" x14ac:dyDescent="0.35">
      <c r="A36" s="7">
        <v>1</v>
      </c>
      <c r="B36" s="7"/>
      <c r="C36" s="80" t="s">
        <v>23</v>
      </c>
      <c r="D36" s="81" t="s">
        <v>3</v>
      </c>
      <c r="E36" s="90">
        <f>COUNTIFS('Falls Data Entry'!$H$6:$H$423,"&lt;&gt;"&amp;" ",'Falls Data Entry'!$T$6:$T$423,"="&amp;"YES",'Falls Data Entry'!$H$6:$H$423,"&gt;="&amp;DATE(YEAR('Falls Summary'!$E$7),MONTH('Falls Summary'!$E$7),1),'Falls Data Entry'!$H$6:$H$423,"&lt;="&amp;EOMONTH(DATE(YEAR('Falls Summary'!$E$7),MONTH('Falls Summary'!$E$7),1),0))</f>
        <v>0</v>
      </c>
      <c r="F36" s="91" t="str">
        <f>IFERROR(E36/$E$14," ")</f>
        <v xml:space="preserve"> </v>
      </c>
      <c r="G36" s="92">
        <f>COUNTIFS('Falls Data Entry'!$H$6:$H$423,"&lt;&gt;"&amp;" ",'Falls Data Entry'!$T$6:$T$423,"="&amp;"YES",'Falls Data Entry'!$H$6:$H$423,"&gt;="&amp;DATE(YEAR(VALUE('Falls Summary'!$E$8)),1,1),'Falls Data Entry'!$H$6:$H$423,"&lt;="&amp;DATE(YEAR(VALUE('Falls Summary'!$E$8)),12,31))</f>
        <v>0</v>
      </c>
      <c r="H36" s="93" t="str">
        <f>IFERROR(G36/$G$14," ")</f>
        <v xml:space="preserve"> </v>
      </c>
      <c r="I36" s="7"/>
      <c r="J36" s="7"/>
      <c r="K36" s="7"/>
      <c r="L36" s="7">
        <f>_xlfn.XLOOKUP(L35,$C$36:$C$71,$A$36:$A$71,"",0)</f>
        <v>1</v>
      </c>
      <c r="M36" s="7"/>
      <c r="N36" s="7"/>
      <c r="O36" s="7"/>
      <c r="P36" s="7"/>
      <c r="Q36" s="7"/>
      <c r="R36" s="2"/>
      <c r="S36" s="22"/>
      <c r="T36" s="22"/>
      <c r="U36" s="22"/>
      <c r="V36" s="22"/>
    </row>
    <row r="37" spans="1:22" ht="18" thickTop="1" x14ac:dyDescent="0.3">
      <c r="A37" s="7">
        <v>1</v>
      </c>
      <c r="B37" s="7"/>
      <c r="C37" s="83"/>
      <c r="D37" s="84" t="str">
        <f>IF(ISNONTEXT($E$7),"",$E$7)</f>
        <v>Unit 1</v>
      </c>
      <c r="E37" s="22">
        <f>COUNTIFS('Falls Data Entry'!$H$6:$H$423,"&lt;&gt;"&amp;" ",'Falls Data Entry'!$T$6:$T$423,"="&amp;"YES",'Falls Data Entry'!$H$6:$H$423,"&gt;="&amp;DATE(YEAR('Falls Summary'!$E$7),MONTH('Falls Summary'!$E$7),1),'Falls Data Entry'!$H$6:$H$423,"&lt;="&amp;EOMONTH(DATE(YEAR('Falls Summary'!$E$7),MONTH('Falls Summary'!$E$7),1),0),'Falls Data Entry'!$A$6:$A$423,D37)</f>
        <v>0</v>
      </c>
      <c r="F37" s="82" t="str">
        <f>IFERROR(E37/$E$15," ")</f>
        <v xml:space="preserve"> </v>
      </c>
      <c r="G37" s="22">
        <f>COUNTIFS('Falls Data Entry'!$H$6:$H$423,"&lt;&gt;"&amp;" ",'Falls Data Entry'!$T$6:$T$423,"="&amp;"YES",'Falls Data Entry'!$H$6:$H$423,"&gt;="&amp;DATE(YEAR(VALUE('Falls Summary'!$E$8)),1,1),'Falls Data Entry'!$H$6:$H$423,"&lt;="&amp;DATE(YEAR(VALUE('Falls Summary'!$E$8)),12,31),'Falls Data Entry'!$A$6:$A$423,D37)</f>
        <v>0</v>
      </c>
      <c r="H37" s="82" t="str">
        <f>IFERROR(G37/$G$15," ")</f>
        <v xml:space="preserve"> </v>
      </c>
      <c r="I37" s="7"/>
      <c r="J37" s="81"/>
      <c r="K37" s="85">
        <f>$E$9</f>
        <v>46174</v>
      </c>
      <c r="L37" s="79" t="s">
        <v>11</v>
      </c>
      <c r="M37" s="7"/>
      <c r="N37" s="7"/>
      <c r="O37" s="7"/>
      <c r="P37" s="7"/>
      <c r="Q37" s="7"/>
      <c r="R37" s="2"/>
      <c r="S37" s="22"/>
      <c r="T37" s="22"/>
      <c r="U37" s="22"/>
      <c r="V37" s="22"/>
    </row>
    <row r="38" spans="1:22" ht="17.25" x14ac:dyDescent="0.3">
      <c r="A38" s="7">
        <v>1</v>
      </c>
      <c r="B38" s="7"/>
      <c r="C38" s="83"/>
      <c r="D38" s="84" t="str">
        <f>IF(ISNONTEXT($F$7),"",$F$7)</f>
        <v/>
      </c>
      <c r="E38" s="22">
        <f>COUNTIFS('Falls Data Entry'!$H$6:$H$423,"&lt;&gt;"&amp;" ",'Falls Data Entry'!$T$6:$T$423,"="&amp;"YES",'Falls Data Entry'!$H$6:$H$423,"&gt;="&amp;DATE(YEAR('Falls Summary'!$E$7),MONTH('Falls Summary'!$E$7),1),'Falls Data Entry'!$H$6:$H$423,"&lt;="&amp;EOMONTH(DATE(YEAR('Falls Summary'!$E$7),MONTH('Falls Summary'!$E$7),1),0),'Falls Data Entry'!$A$6:$A$423,D38)</f>
        <v>0</v>
      </c>
      <c r="F38" s="82" t="str">
        <f>IFERROR(E38/$E$16," ")</f>
        <v xml:space="preserve"> </v>
      </c>
      <c r="G38" s="22">
        <f>COUNTIFS('Falls Data Entry'!$H$6:$H$423,"&lt;&gt;"&amp;" ",'Falls Data Entry'!$T$6:$T$423,"="&amp;"YES",'Falls Data Entry'!$H$6:$H$423,"&gt;="&amp;DATE(YEAR(VALUE('Falls Summary'!$E$8)),1,1),'Falls Data Entry'!$H$6:$H$423,"&lt;="&amp;DATE(YEAR(VALUE('Falls Summary'!$E$8)),12,31),'Falls Data Entry'!$A$6:$A$423,D38)</f>
        <v>0</v>
      </c>
      <c r="H38" s="82" t="str">
        <f>IFERROR(G38/$G$16," ")</f>
        <v xml:space="preserve"> </v>
      </c>
      <c r="I38" s="7"/>
      <c r="J38" s="84" t="str">
        <f>IF(ISNONTEXT($E$7),"",$E$7)</f>
        <v>Unit 1</v>
      </c>
      <c r="K38" s="86" t="str" cm="1">
        <f t="array" ref="K38">_xlfn.XLOOKUP(J38&amp;$L$36,$D$36:$D$71&amp;$A$36:$A$71,$F$36:$F$71,"",0)</f>
        <v xml:space="preserve"> </v>
      </c>
      <c r="L38" s="86" t="str" cm="1">
        <f t="array" ref="L38">_xlfn.XLOOKUP(J38&amp;$L$36,$D$36:$D$71&amp;$A$36:$A$71,$H$36:$H$71,"",0)</f>
        <v xml:space="preserve"> </v>
      </c>
      <c r="M38" s="7"/>
      <c r="N38" s="7"/>
      <c r="O38" s="7"/>
      <c r="P38" s="7"/>
      <c r="Q38" s="7"/>
      <c r="R38" s="2"/>
      <c r="S38" s="22"/>
      <c r="T38" s="22"/>
      <c r="U38" s="22"/>
      <c r="V38" s="22"/>
    </row>
    <row r="39" spans="1:22" ht="18" thickBot="1" x14ac:dyDescent="0.35">
      <c r="A39" s="7">
        <v>1</v>
      </c>
      <c r="B39" s="7"/>
      <c r="C39" s="83"/>
      <c r="D39" s="84" t="str">
        <f>IF(ISNONTEXT($G$7),"",$G$7)</f>
        <v/>
      </c>
      <c r="E39" s="22">
        <f>COUNTIFS('Falls Data Entry'!$H$6:$H$423,"&lt;&gt;"&amp;" ",'Falls Data Entry'!$T$6:$T$423,"="&amp;"YES",'Falls Data Entry'!$H$6:$H$423,"&gt;="&amp;DATE(YEAR('Falls Summary'!$E$7),MONTH('Falls Summary'!$E$7),1),'Falls Data Entry'!$H$6:$H$423,"&lt;="&amp;EOMONTH(DATE(YEAR('Falls Summary'!$E$7),MONTH('Falls Summary'!$E$7),1),0),'Falls Data Entry'!$A$6:$A$423,D39)</f>
        <v>0</v>
      </c>
      <c r="F39" s="82" t="str">
        <f>IFERROR(E39/$E$17," ")</f>
        <v xml:space="preserve"> </v>
      </c>
      <c r="G39" s="22">
        <f>COUNTIFS('Falls Data Entry'!$H$6:$H$423,"&lt;&gt;"&amp;" ",'Falls Data Entry'!$T$6:$T$423,"="&amp;"YES",'Falls Data Entry'!$H$6:$H$423,"&gt;="&amp;DATE(YEAR(VALUE('Falls Summary'!$E$8)),1,1),'Falls Data Entry'!$H$6:$H$423,"&lt;="&amp;DATE(YEAR(VALUE('Falls Summary'!$E$8)),12,31),'Falls Data Entry'!$A$6:$A$423,D39)</f>
        <v>0</v>
      </c>
      <c r="H39" s="82" t="str">
        <f>IFERROR(G39/$G$17," ")</f>
        <v xml:space="preserve"> </v>
      </c>
      <c r="I39" s="7"/>
      <c r="J39" s="84" t="str">
        <f>IF(ISNONTEXT($F$7),"",$F$7)</f>
        <v/>
      </c>
      <c r="K39" s="86" t="str" cm="1">
        <f t="array" ref="K39">_xlfn.XLOOKUP(J39&amp;$L$36,$D$36:$D$71&amp;$A$36:$A$71,$F$36:$F$71,"",0)</f>
        <v xml:space="preserve"> </v>
      </c>
      <c r="L39" s="86" t="str" cm="1">
        <f t="array" ref="L39">_xlfn.XLOOKUP(J39&amp;$L$36,$D$36:$D$71&amp;$A$36:$A$71,$H$36:$H$71,"",0)</f>
        <v xml:space="preserve"> </v>
      </c>
      <c r="M39" s="7"/>
      <c r="N39" s="7"/>
      <c r="O39" s="7"/>
      <c r="P39" s="7"/>
      <c r="Q39" s="7"/>
      <c r="R39" s="2"/>
      <c r="S39" s="22"/>
      <c r="T39" s="22"/>
      <c r="U39" s="22"/>
      <c r="V39" s="22"/>
    </row>
    <row r="40" spans="1:22" ht="18.75" thickTop="1" thickBot="1" x14ac:dyDescent="0.35">
      <c r="A40" s="7">
        <v>2</v>
      </c>
      <c r="B40" s="7"/>
      <c r="C40" s="80" t="s">
        <v>24</v>
      </c>
      <c r="D40" s="81" t="s">
        <v>3</v>
      </c>
      <c r="E40" s="90">
        <f>COUNTIFS('Falls Data Entry'!$H$6:$H$423,"&lt;&gt;"&amp;" ",'Falls Data Entry'!$U$6:$U$423,"="&amp;"YES",'Falls Data Entry'!$H$6:$H$423,"&gt;="&amp;DATE(YEAR('Falls Summary'!$E$7),MONTH('Falls Summary'!$E$7),1),'Falls Data Entry'!$H$6:$H$423,"&lt;="&amp;EOMONTH(DATE(YEAR('Falls Summary'!$E$7),MONTH('Falls Summary'!$E$7),1),0))</f>
        <v>0</v>
      </c>
      <c r="F40" s="91" t="str">
        <f>IFERROR(E40/$E$14," ")</f>
        <v xml:space="preserve"> </v>
      </c>
      <c r="G40" s="92">
        <f>COUNTIFS('Falls Data Entry'!$H$6:$H$423,"&lt;&gt;"&amp;" ",'Falls Data Entry'!$U$6:$U$423,"="&amp;"YES",'Falls Data Entry'!$H$6:$H$423,"&gt;="&amp;DATE(YEAR(VALUE('Falls Summary'!$E$8)),1,1),'Falls Data Entry'!$H$6:$H$423,"&lt;="&amp;DATE(YEAR(VALUE('Falls Summary'!$E$8)),12,31))</f>
        <v>0</v>
      </c>
      <c r="H40" s="93" t="str">
        <f>IFERROR(G40/$G$14," ")</f>
        <v xml:space="preserve"> </v>
      </c>
      <c r="I40" s="7"/>
      <c r="J40" s="84" t="str">
        <f>IF(ISNONTEXT($G$7),"",$G$7)</f>
        <v/>
      </c>
      <c r="K40" s="86" t="str" cm="1">
        <f t="array" ref="K40">_xlfn.XLOOKUP(J40&amp;$L$36,$D$36:$D$71&amp;$A$36:$A$71,$F$36:$F$71,"",0)</f>
        <v xml:space="preserve"> </v>
      </c>
      <c r="L40" s="86" t="str" cm="1">
        <f t="array" ref="L40">_xlfn.XLOOKUP(J40&amp;$L$36,$D$36:$D$71&amp;$A$36:$A$71,$H$36:$H$71,"",0)</f>
        <v xml:space="preserve"> </v>
      </c>
      <c r="M40" s="7"/>
      <c r="N40" s="7"/>
      <c r="O40" s="7"/>
      <c r="P40" s="7"/>
      <c r="Q40" s="7"/>
      <c r="R40" s="2"/>
      <c r="S40" s="22"/>
      <c r="T40" s="22"/>
      <c r="U40" s="22"/>
      <c r="V40" s="22"/>
    </row>
    <row r="41" spans="1:22" ht="18" thickTop="1" x14ac:dyDescent="0.3">
      <c r="A41" s="7">
        <v>2</v>
      </c>
      <c r="B41" s="7"/>
      <c r="C41" s="83"/>
      <c r="D41" s="84" t="str">
        <f>IF(ISNONTEXT($E$7),"",$E$7)</f>
        <v>Unit 1</v>
      </c>
      <c r="E41" s="22">
        <f>COUNTIFS('Falls Data Entry'!$H$6:$H$423,"&lt;&gt;"&amp;" ",'Falls Data Entry'!$U$6:$U$423,"="&amp;"YES",'Falls Data Entry'!$H$6:$H$423,"&gt;="&amp;DATE(YEAR('Falls Summary'!$E$7),MONTH('Falls Summary'!$E$7),1),'Falls Data Entry'!$H$6:$H$423,"&lt;="&amp;EOMONTH(DATE(YEAR('Falls Summary'!$E$7),MONTH('Falls Summary'!$E$7),1),0),'Falls Data Entry'!$A$6:$A$423,D41)</f>
        <v>0</v>
      </c>
      <c r="F41" s="82" t="str">
        <f>IFERROR(E41/$E$15," ")</f>
        <v xml:space="preserve"> </v>
      </c>
      <c r="G41" s="22">
        <f>COUNTIFS('Falls Data Entry'!$H$6:$H$423,"&lt;&gt;"&amp;" ",'Falls Data Entry'!$U$6:$U$423,"="&amp;"YES",'Falls Data Entry'!$H$6:$H$423,"&gt;="&amp;DATE(YEAR(VALUE('Falls Summary'!$E$8)),1,1),'Falls Data Entry'!$H$6:$H$423,"&lt;="&amp;DATE(YEAR(VALUE('Falls Summary'!$E$8)),12,31),'Falls Data Entry'!$A$6:$A$423,D41)</f>
        <v>0</v>
      </c>
      <c r="H41" s="82" t="str">
        <f>IFERROR(G41/$G$15," ")</f>
        <v xml:space="preserve"> </v>
      </c>
      <c r="I41" s="7"/>
      <c r="J41" s="84" t="s">
        <v>3</v>
      </c>
      <c r="K41" s="45" t="str" cm="1">
        <f t="array" ref="K41">_xlfn.XLOOKUP(J41&amp;$L$36,$D$36:$D$71&amp;$A$36:$A$71,$F$36:$F$71,"",0)</f>
        <v xml:space="preserve"> </v>
      </c>
      <c r="L41" s="45" t="str" cm="1">
        <f t="array" ref="L41">_xlfn.XLOOKUP(J41&amp;$L$36,$D$36:$D$71&amp;$A$36:$A$71,$H$36:$H$71,"",0)</f>
        <v xml:space="preserve"> </v>
      </c>
      <c r="M41" s="7"/>
      <c r="N41" s="7"/>
      <c r="O41" s="7"/>
      <c r="P41" s="7"/>
      <c r="Q41" s="7"/>
      <c r="R41" s="2"/>
      <c r="S41" s="22"/>
      <c r="T41" s="22"/>
      <c r="U41" s="22"/>
      <c r="V41" s="22"/>
    </row>
    <row r="42" spans="1:22" ht="17.25" x14ac:dyDescent="0.3">
      <c r="A42" s="7">
        <v>2</v>
      </c>
      <c r="B42" s="7"/>
      <c r="C42" s="83"/>
      <c r="D42" s="84" t="str">
        <f>IF(ISNONTEXT($F$7),"",$F$7)</f>
        <v/>
      </c>
      <c r="E42" s="22">
        <f>COUNTIFS('Falls Data Entry'!$H$6:$H$423,"&lt;&gt;"&amp;" ",'Falls Data Entry'!$U$6:$U$423,"="&amp;"YES",'Falls Data Entry'!$H$6:$H$423,"&gt;="&amp;DATE(YEAR('Falls Summary'!$E$7),MONTH('Falls Summary'!$E$7),1),'Falls Data Entry'!$H$6:$H$423,"&lt;="&amp;EOMONTH(DATE(YEAR('Falls Summary'!$E$7),MONTH('Falls Summary'!$E$7),1),0),'Falls Data Entry'!$A$6:$A$423,D42)</f>
        <v>0</v>
      </c>
      <c r="F42" s="82" t="str">
        <f>IFERROR(E42/$E$16," ")</f>
        <v xml:space="preserve"> </v>
      </c>
      <c r="G42" s="22">
        <f>COUNTIFS('Falls Data Entry'!$H$6:$H$423,"&lt;&gt;"&amp;" ",'Falls Data Entry'!$U$6:$U$423,"="&amp;"YES",'Falls Data Entry'!$H$6:$H$423,"&gt;="&amp;DATE(YEAR(VALUE('Falls Summary'!$E$8)),1,1),'Falls Data Entry'!$H$6:$H$423,"&lt;="&amp;DATE(YEAR(VALUE('Falls Summary'!$E$8)),12,31),'Falls Data Entry'!$A$6:$A$423,D42)</f>
        <v>0</v>
      </c>
      <c r="H42" s="82" t="str">
        <f>IFERROR(G42/$G$16," ")</f>
        <v xml:space="preserve"> </v>
      </c>
      <c r="I42" s="7"/>
      <c r="J42" s="7"/>
      <c r="K42" s="7"/>
      <c r="L42" s="7"/>
      <c r="M42" s="7"/>
      <c r="N42" s="7"/>
      <c r="O42" s="7"/>
      <c r="P42" s="7"/>
      <c r="Q42" s="7"/>
      <c r="R42" s="2"/>
      <c r="S42" s="22"/>
      <c r="T42" s="22"/>
      <c r="U42" s="22"/>
      <c r="V42" s="22"/>
    </row>
    <row r="43" spans="1:22" ht="18" thickBot="1" x14ac:dyDescent="0.35">
      <c r="A43" s="7">
        <v>2</v>
      </c>
      <c r="B43" s="7"/>
      <c r="C43" s="83"/>
      <c r="D43" s="84" t="str">
        <f>IF(ISNONTEXT($G$7),"",$G$7)</f>
        <v/>
      </c>
      <c r="E43" s="22">
        <f>COUNTIFS('Falls Data Entry'!$H$6:$H$423,"&lt;&gt;"&amp;" ",'Falls Data Entry'!$U$6:$U$423,"="&amp;"YES",'Falls Data Entry'!$H$6:$H$423,"&gt;="&amp;DATE(YEAR('Falls Summary'!$E$7),MONTH('Falls Summary'!$E$7),1),'Falls Data Entry'!$H$6:$H$423,"&lt;="&amp;EOMONTH(DATE(YEAR('Falls Summary'!$E$7),MONTH('Falls Summary'!$E$7),1),0),'Falls Data Entry'!$A$6:$A$423,D43)</f>
        <v>0</v>
      </c>
      <c r="F43" s="82" t="str">
        <f>IFERROR(E43/$E$17," ")</f>
        <v xml:space="preserve"> </v>
      </c>
      <c r="G43" s="22">
        <f>COUNTIFS('Falls Data Entry'!$H$6:$H$423,"&lt;&gt;"&amp;" ",'Falls Data Entry'!$U$6:$U$423,"="&amp;"YES",'Falls Data Entry'!$H$6:$H$423,"&gt;="&amp;DATE(YEAR(VALUE('Falls Summary'!$E$8)),1,1),'Falls Data Entry'!$H$6:$H$423,"&lt;="&amp;DATE(YEAR(VALUE('Falls Summary'!$E$8)),12,31),'Falls Data Entry'!$A$6:$A$423,D43)</f>
        <v>0</v>
      </c>
      <c r="H43" s="82" t="str">
        <f>IFERROR(G43/$G$17," ")</f>
        <v xml:space="preserve"> </v>
      </c>
      <c r="I43" s="7"/>
      <c r="J43" s="7"/>
      <c r="K43" s="7"/>
      <c r="L43" s="7"/>
      <c r="M43" s="7"/>
      <c r="N43" s="7"/>
      <c r="O43" s="7"/>
      <c r="P43" s="7"/>
      <c r="Q43" s="7"/>
      <c r="R43" s="7"/>
      <c r="S43" s="7"/>
      <c r="T43" s="7"/>
      <c r="U43" s="7"/>
      <c r="V43" s="7"/>
    </row>
    <row r="44" spans="1:22" ht="18.75" thickTop="1" thickBot="1" x14ac:dyDescent="0.35">
      <c r="A44" s="7">
        <v>3</v>
      </c>
      <c r="B44" s="7"/>
      <c r="C44" s="80" t="s">
        <v>25</v>
      </c>
      <c r="D44" s="81" t="s">
        <v>3</v>
      </c>
      <c r="E44" s="90">
        <f>COUNTIFS('Falls Data Entry'!$H$6:$H$423,"&lt;&gt;"&amp;" ",'Falls Data Entry'!$V$6:$V$423,"="&amp;"YES",'Falls Data Entry'!$H$6:$H$423,"&gt;="&amp;DATE(YEAR('Falls Summary'!$E$7),MONTH('Falls Summary'!$E$7),1),'Falls Data Entry'!$H$6:$H$423,"&lt;="&amp;EOMONTH(DATE(YEAR('Falls Summary'!$E$7),MONTH('Falls Summary'!$E$7),1),0))</f>
        <v>0</v>
      </c>
      <c r="F44" s="91" t="str">
        <f>IFERROR(E44/$E$14," ")</f>
        <v xml:space="preserve"> </v>
      </c>
      <c r="G44" s="92">
        <f>COUNTIFS('Falls Data Entry'!$H$6:$H$423,"&lt;&gt;"&amp;" ",'Falls Data Entry'!$V$6:$V$423,"="&amp;"YES",'Falls Data Entry'!$H$6:$H$423,"&gt;="&amp;DATE(YEAR(VALUE('Falls Summary'!$E$8)),1,1),'Falls Data Entry'!$H$6:$H$423,"&lt;="&amp;DATE(YEAR(VALUE('Falls Summary'!$E$8)),12,31))</f>
        <v>0</v>
      </c>
      <c r="H44" s="93" t="str">
        <f>IFERROR(G44/$G$14," ")</f>
        <v xml:space="preserve"> </v>
      </c>
      <c r="I44" s="7"/>
      <c r="J44" s="7"/>
      <c r="K44" s="7"/>
      <c r="L44" s="7"/>
      <c r="M44" s="7"/>
      <c r="N44" s="7"/>
      <c r="O44" s="7"/>
      <c r="P44" s="7"/>
      <c r="Q44" s="7"/>
      <c r="R44" s="7"/>
      <c r="S44" s="7"/>
      <c r="T44" s="7"/>
      <c r="U44" s="7"/>
      <c r="V44" s="7"/>
    </row>
    <row r="45" spans="1:22" ht="18" thickTop="1" x14ac:dyDescent="0.3">
      <c r="A45" s="7">
        <v>3</v>
      </c>
      <c r="B45" s="7"/>
      <c r="C45" s="87"/>
      <c r="D45" s="84" t="str">
        <f>IF(ISNONTEXT($E$7),"",$E$7)</f>
        <v>Unit 1</v>
      </c>
      <c r="E45" s="22">
        <f>COUNTIFS('Falls Data Entry'!$H$6:$H$423,"&lt;&gt;"&amp;" ",'Falls Data Entry'!$V$6:$V$423,"="&amp;"YES",'Falls Data Entry'!$H$6:$H$423,"&gt;="&amp;DATE(YEAR('Falls Summary'!$E$7),MONTH('Falls Summary'!$E$7),1),'Falls Data Entry'!$H$6:$H$423,"&lt;="&amp;EOMONTH(DATE(YEAR('Falls Summary'!$E$7),MONTH('Falls Summary'!$E$7),1),0),'Falls Data Entry'!$A$6:$A$423,D45)</f>
        <v>0</v>
      </c>
      <c r="F45" s="82" t="str">
        <f>IFERROR(E45/$E$15," ")</f>
        <v xml:space="preserve"> </v>
      </c>
      <c r="G45" s="22">
        <f>COUNTIFS('Falls Data Entry'!$H$6:$H$423,"&lt;&gt;"&amp;" ",'Falls Data Entry'!$V$6:$V$423,"="&amp;"YES",'Falls Data Entry'!$H$6:$H$423,"&gt;="&amp;DATE(YEAR(VALUE('Falls Summary'!$E$8)),1,1),'Falls Data Entry'!$H$6:$H$423,"&lt;="&amp;DATE(YEAR(VALUE('Falls Summary'!$E$8)),12,31),'Falls Data Entry'!$A$6:$A$423,D45)</f>
        <v>0</v>
      </c>
      <c r="H45" s="82" t="str">
        <f>IFERROR(G45/$G$15," ")</f>
        <v xml:space="preserve"> </v>
      </c>
      <c r="I45" s="7"/>
      <c r="J45" s="7"/>
      <c r="K45" s="7"/>
      <c r="L45" s="7"/>
      <c r="M45" s="7"/>
      <c r="N45" s="7"/>
      <c r="O45" s="7"/>
      <c r="P45" s="7"/>
      <c r="Q45" s="7"/>
      <c r="R45" s="7"/>
      <c r="S45" s="7"/>
      <c r="T45" s="7"/>
      <c r="U45" s="7"/>
      <c r="V45" s="7"/>
    </row>
    <row r="46" spans="1:22" ht="17.25" x14ac:dyDescent="0.3">
      <c r="A46" s="7">
        <v>3</v>
      </c>
      <c r="B46" s="7"/>
      <c r="C46" s="87"/>
      <c r="D46" s="84" t="str">
        <f>IF(ISNONTEXT($F$7),"",$F$7)</f>
        <v/>
      </c>
      <c r="E46" s="22">
        <f>COUNTIFS('Falls Data Entry'!$H$6:$H$423,"&lt;&gt;"&amp;" ",'Falls Data Entry'!$V$6:$V$423,"="&amp;"YES",'Falls Data Entry'!$H$6:$H$423,"&gt;="&amp;DATE(YEAR('Falls Summary'!$E$7),MONTH('Falls Summary'!$E$7),1),'Falls Data Entry'!$H$6:$H$423,"&lt;="&amp;EOMONTH(DATE(YEAR('Falls Summary'!$E$7),MONTH('Falls Summary'!$E$7),1),0),'Falls Data Entry'!$A$6:$A$423,D46)</f>
        <v>0</v>
      </c>
      <c r="F46" s="82" t="str">
        <f>IFERROR(E46/$E$16," ")</f>
        <v xml:space="preserve"> </v>
      </c>
      <c r="G46" s="22">
        <f>COUNTIFS('Falls Data Entry'!$H$6:$H$423,"&lt;&gt;"&amp;" ",'Falls Data Entry'!$V$6:$V$423,"="&amp;"YES",'Falls Data Entry'!$H$6:$H$423,"&gt;="&amp;DATE(YEAR(VALUE('Falls Summary'!$E$8)),1,1),'Falls Data Entry'!$H$6:$H$423,"&lt;="&amp;DATE(YEAR(VALUE('Falls Summary'!$E$8)),12,31),'Falls Data Entry'!$A$6:$A$423,D46)</f>
        <v>0</v>
      </c>
      <c r="H46" s="82" t="str">
        <f>IFERROR(G46/$G$16," ")</f>
        <v xml:space="preserve"> </v>
      </c>
      <c r="I46" s="7"/>
      <c r="J46" s="7"/>
      <c r="K46" s="7"/>
      <c r="L46" s="7"/>
      <c r="M46" s="7"/>
      <c r="N46" s="7"/>
      <c r="O46" s="7"/>
      <c r="P46" s="7"/>
      <c r="Q46" s="7"/>
      <c r="R46" s="7"/>
      <c r="S46" s="7"/>
      <c r="T46" s="7"/>
      <c r="U46" s="7"/>
      <c r="V46" s="7"/>
    </row>
    <row r="47" spans="1:22" ht="18" thickBot="1" x14ac:dyDescent="0.35">
      <c r="A47" s="7">
        <v>3</v>
      </c>
      <c r="B47" s="7"/>
      <c r="C47" s="87"/>
      <c r="D47" s="84" t="str">
        <f>IF(ISNONTEXT($G$7),"",$G$7)</f>
        <v/>
      </c>
      <c r="E47" s="22">
        <f>COUNTIFS('Falls Data Entry'!$H$6:$H$423,"&lt;&gt;"&amp;" ",'Falls Data Entry'!$V$6:$V$423,"="&amp;"YES",'Falls Data Entry'!$H$6:$H$423,"&gt;="&amp;DATE(YEAR('Falls Summary'!$E$7),MONTH('Falls Summary'!$E$7),1),'Falls Data Entry'!$H$6:$H$423,"&lt;="&amp;EOMONTH(DATE(YEAR('Falls Summary'!$E$7),MONTH('Falls Summary'!$E$7),1),0),'Falls Data Entry'!$A$6:$A$423,D47)</f>
        <v>0</v>
      </c>
      <c r="F47" s="82" t="str">
        <f>IFERROR(E47/$E$17," ")</f>
        <v xml:space="preserve"> </v>
      </c>
      <c r="G47" s="22">
        <f>COUNTIFS('Falls Data Entry'!$H$6:$H$423,"&lt;&gt;"&amp;" ",'Falls Data Entry'!$V$6:$V$423,"="&amp;"YES",'Falls Data Entry'!$H$6:$H$423,"&gt;="&amp;DATE(YEAR(VALUE('Falls Summary'!$E$8)),1,1),'Falls Data Entry'!$H$6:$H$423,"&lt;="&amp;DATE(YEAR(VALUE('Falls Summary'!$E$8)),12,31),'Falls Data Entry'!$A$6:$A$423,D47)</f>
        <v>0</v>
      </c>
      <c r="H47" s="82" t="str">
        <f>IFERROR(G47/$G$17," ")</f>
        <v xml:space="preserve"> </v>
      </c>
      <c r="I47" s="7"/>
      <c r="J47" s="7"/>
      <c r="K47" s="7"/>
      <c r="L47" s="7"/>
      <c r="M47" s="7"/>
      <c r="N47" s="7"/>
      <c r="O47" s="7"/>
      <c r="P47" s="7"/>
      <c r="Q47" s="7"/>
      <c r="R47" s="7"/>
      <c r="S47" s="7"/>
      <c r="T47" s="7"/>
      <c r="U47" s="7"/>
      <c r="V47" s="7"/>
    </row>
    <row r="48" spans="1:22" ht="18.75" thickTop="1" thickBot="1" x14ac:dyDescent="0.35">
      <c r="A48" s="7">
        <v>4</v>
      </c>
      <c r="B48" s="7"/>
      <c r="C48" s="80" t="s">
        <v>26</v>
      </c>
      <c r="D48" s="81" t="s">
        <v>3</v>
      </c>
      <c r="E48" s="90">
        <f>COUNTIFS('Falls Data Entry'!$H$6:$H$423,"&lt;&gt;"&amp;" ",'Falls Data Entry'!$W$6:$W$423,"="&amp;"YES",'Falls Data Entry'!$H$6:$H$423,"&gt;="&amp;DATE(YEAR('Falls Summary'!$E$7),MONTH('Falls Summary'!$E$7),1),'Falls Data Entry'!$H$6:$H$423,"&lt;="&amp;EOMONTH(DATE(YEAR('Falls Summary'!$E$7),MONTH('Falls Summary'!$E$7),1),0))</f>
        <v>0</v>
      </c>
      <c r="F48" s="91" t="str">
        <f>IFERROR(E48/$E$14," ")</f>
        <v xml:space="preserve"> </v>
      </c>
      <c r="G48" s="92">
        <f>COUNTIFS('Falls Data Entry'!$H$6:$H$423,"&lt;&gt;"&amp;" ",'Falls Data Entry'!$W$6:$W$423,"="&amp;"YES",'Falls Data Entry'!$H$6:$H$423,"&gt;="&amp;DATE(YEAR(VALUE('Falls Summary'!$E$8)),1,1),'Falls Data Entry'!$H$6:$H$423,"&lt;="&amp;DATE(YEAR(VALUE('Falls Summary'!$E$8)),12,31))</f>
        <v>0</v>
      </c>
      <c r="H48" s="93" t="str">
        <f>IFERROR(G48/$G$14," ")</f>
        <v xml:space="preserve"> </v>
      </c>
      <c r="I48" s="7"/>
      <c r="J48" s="7"/>
      <c r="K48" s="7"/>
      <c r="L48" s="7"/>
      <c r="M48" s="7"/>
      <c r="N48" s="7"/>
      <c r="O48" s="7"/>
      <c r="P48" s="7"/>
      <c r="Q48" s="7"/>
      <c r="R48" s="7"/>
      <c r="S48" s="7"/>
      <c r="T48" s="7"/>
      <c r="U48" s="7"/>
      <c r="V48" s="7"/>
    </row>
    <row r="49" spans="1:8" ht="18" thickTop="1" x14ac:dyDescent="0.3">
      <c r="A49" s="7">
        <v>4</v>
      </c>
      <c r="B49" s="7"/>
      <c r="C49" s="83"/>
      <c r="D49" s="84" t="str">
        <f>IF(ISNONTEXT($E$7),"",$E$7)</f>
        <v>Unit 1</v>
      </c>
      <c r="E49" s="22">
        <f>COUNTIFS('Falls Data Entry'!$H$6:$H$423,"&lt;&gt;"&amp;" ",'Falls Data Entry'!$W$6:$W$423,"="&amp;"YES",'Falls Data Entry'!$H$6:$H$423,"&gt;="&amp;DATE(YEAR('Falls Summary'!$E$7),MONTH('Falls Summary'!$E$7),1),'Falls Data Entry'!$H$6:$H$423,"&lt;="&amp;EOMONTH(DATE(YEAR('Falls Summary'!$E$7),MONTH('Falls Summary'!$E$7),1),0),'Falls Data Entry'!$A$6:$A$423,D49)</f>
        <v>0</v>
      </c>
      <c r="F49" s="82" t="str">
        <f>IFERROR(E49/$E$15," ")</f>
        <v xml:space="preserve"> </v>
      </c>
      <c r="G49" s="22">
        <f>COUNTIFS('Falls Data Entry'!$H$6:$H$423,"&lt;&gt;"&amp;" ",'Falls Data Entry'!$W$6:$W$423,"="&amp;"YES",'Falls Data Entry'!$H$6:$H$423,"&gt;="&amp;DATE(YEAR(VALUE('Falls Summary'!$E$8)),1,1),'Falls Data Entry'!$H$6:$H$423,"&lt;="&amp;DATE(YEAR(VALUE('Falls Summary'!$E$8)),12,31),'Falls Data Entry'!$A$6:$A$423,D49)</f>
        <v>0</v>
      </c>
      <c r="H49" s="82" t="str">
        <f>IFERROR(G49/$G$15," ")</f>
        <v xml:space="preserve"> </v>
      </c>
    </row>
    <row r="50" spans="1:8" ht="17.25" x14ac:dyDescent="0.3">
      <c r="A50" s="7">
        <v>4</v>
      </c>
      <c r="B50" s="7"/>
      <c r="C50" s="83"/>
      <c r="D50" s="84" t="str">
        <f>IF(ISNONTEXT($F$7),"",$F$7)</f>
        <v/>
      </c>
      <c r="E50" s="22">
        <f>COUNTIFS('Falls Data Entry'!$H$6:$H$423,"&lt;&gt;"&amp;" ",'Falls Data Entry'!$W$6:$W$423,"="&amp;"YES",'Falls Data Entry'!$H$6:$H$423,"&gt;="&amp;DATE(YEAR('Falls Summary'!$E$7),MONTH('Falls Summary'!$E$7),1),'Falls Data Entry'!$H$6:$H$423,"&lt;="&amp;EOMONTH(DATE(YEAR('Falls Summary'!$E$7),MONTH('Falls Summary'!$E$7),1),0),'Falls Data Entry'!$A$6:$A$423,D50)</f>
        <v>0</v>
      </c>
      <c r="F50" s="82" t="str">
        <f>IFERROR(E50/$E$16," ")</f>
        <v xml:space="preserve"> </v>
      </c>
      <c r="G50" s="22">
        <f>COUNTIFS('Falls Data Entry'!$H$6:$H$423,"&lt;&gt;"&amp;" ",'Falls Data Entry'!$W$6:$W$423,"="&amp;"YES",'Falls Data Entry'!$H$6:$H$423,"&gt;="&amp;DATE(YEAR(VALUE('Falls Summary'!$E$8)),1,1),'Falls Data Entry'!$H$6:$H$423,"&lt;="&amp;DATE(YEAR(VALUE('Falls Summary'!$E$8)),12,31),'Falls Data Entry'!$A$6:$A$423,D50)</f>
        <v>0</v>
      </c>
      <c r="H50" s="82" t="str">
        <f>IFERROR(G50/$G$16," ")</f>
        <v xml:space="preserve"> </v>
      </c>
    </row>
    <row r="51" spans="1:8" ht="18" thickBot="1" x14ac:dyDescent="0.35">
      <c r="A51" s="7">
        <v>4</v>
      </c>
      <c r="B51" s="7"/>
      <c r="C51" s="83"/>
      <c r="D51" s="84" t="str">
        <f>IF(ISNONTEXT($G$7),"",$G$7)</f>
        <v/>
      </c>
      <c r="E51" s="22">
        <f>COUNTIFS('Falls Data Entry'!$H$6:$H$423,"&lt;&gt;"&amp;" ",'Falls Data Entry'!$W$6:$W$423,"="&amp;"YES",'Falls Data Entry'!$H$6:$H$423,"&gt;="&amp;DATE(YEAR('Falls Summary'!$E$7),MONTH('Falls Summary'!$E$7),1),'Falls Data Entry'!$H$6:$H$423,"&lt;="&amp;EOMONTH(DATE(YEAR('Falls Summary'!$E$7),MONTH('Falls Summary'!$E$7),1),0),'Falls Data Entry'!$A$6:$A$423,D51)</f>
        <v>0</v>
      </c>
      <c r="F51" s="82" t="str">
        <f>IFERROR(E51/$E$17," ")</f>
        <v xml:space="preserve"> </v>
      </c>
      <c r="G51" s="22">
        <f>COUNTIFS('Falls Data Entry'!$H$6:$H$423,"&lt;&gt;"&amp;" ",'Falls Data Entry'!$W$6:$W$423,"="&amp;"YES",'Falls Data Entry'!$H$6:$H$423,"&gt;="&amp;DATE(YEAR(VALUE('Falls Summary'!$E$8)),1,1),'Falls Data Entry'!$H$6:$H$423,"&lt;="&amp;DATE(YEAR(VALUE('Falls Summary'!$E$8)),12,31),'Falls Data Entry'!$A$6:$A$423,D51)</f>
        <v>0</v>
      </c>
      <c r="H51" s="82" t="str">
        <f>IFERROR(G51/$G$17," ")</f>
        <v xml:space="preserve"> </v>
      </c>
    </row>
    <row r="52" spans="1:8" ht="18.75" thickTop="1" thickBot="1" x14ac:dyDescent="0.35">
      <c r="A52" s="7">
        <v>4.5</v>
      </c>
      <c r="B52" s="7"/>
      <c r="C52" s="80" t="s">
        <v>27</v>
      </c>
      <c r="D52" s="81" t="s">
        <v>3</v>
      </c>
      <c r="E52" s="90">
        <f>COUNTIFS('Falls Data Entry'!$H$6:$H$423,"&lt;&gt;"&amp;" ",'Falls Data Entry'!$X$6:$X$423,"="&amp;"YES",'Falls Data Entry'!$H$6:$H$423,"&gt;="&amp;DATE(YEAR('Falls Summary'!$E$7),MONTH('Falls Summary'!$E$7),1),'Falls Data Entry'!$H$6:$H$423,"&lt;="&amp;EOMONTH(DATE(YEAR('Falls Summary'!$E$7),MONTH('Falls Summary'!$E$7),1),0))</f>
        <v>0</v>
      </c>
      <c r="F52" s="91" t="str">
        <f>IFERROR(E52/$E$14," ")</f>
        <v xml:space="preserve"> </v>
      </c>
      <c r="G52" s="92">
        <f>COUNTIFS('Falls Data Entry'!$H$6:$H$423,"&lt;&gt;"&amp;" ",'Falls Data Entry'!$X$6:$X$423,"="&amp;"YES",'Falls Data Entry'!$H$6:$H$423,"&gt;="&amp;DATE(YEAR(VALUE('Falls Summary'!$E$8)),1,1),'Falls Data Entry'!$H$6:$H$423,"&lt;="&amp;DATE(YEAR(VALUE('Falls Summary'!$E$8)),12,31))</f>
        <v>0</v>
      </c>
      <c r="H52" s="93" t="str">
        <f>IFERROR(G52/$G$14," ")</f>
        <v xml:space="preserve"> </v>
      </c>
    </row>
    <row r="53" spans="1:8" ht="18" thickTop="1" x14ac:dyDescent="0.3">
      <c r="A53" s="7">
        <v>4.7352941176470598</v>
      </c>
      <c r="B53" s="7"/>
      <c r="C53" s="83"/>
      <c r="D53" s="84" t="str">
        <f>IF(ISNONTEXT($E$7),"",$E$7)</f>
        <v>Unit 1</v>
      </c>
      <c r="E53" s="22">
        <f>COUNTIFS('Falls Data Entry'!$H$6:$H$423,"&lt;&gt;"&amp;" ",'Falls Data Entry'!$X$6:$X$423,"="&amp;"YES",'Falls Data Entry'!$H$6:$H$423,"&gt;="&amp;DATE(YEAR('Falls Summary'!$E$7),MONTH('Falls Summary'!$E$7),1),'Falls Data Entry'!$H$6:$H$423,"&lt;="&amp;EOMONTH(DATE(YEAR('Falls Summary'!$E$7),MONTH('Falls Summary'!$E$7),1),0),'Falls Data Entry'!$A$6:$A$423,D53)</f>
        <v>0</v>
      </c>
      <c r="F53" s="82" t="str">
        <f>IFERROR(E53/$E$15," ")</f>
        <v xml:space="preserve"> </v>
      </c>
      <c r="G53" s="22">
        <f>COUNTIFS('Falls Data Entry'!$H$6:$H$423,"&lt;&gt;"&amp;" ",'Falls Data Entry'!$X$6:$X$423,"="&amp;"YES",'Falls Data Entry'!$H$6:$H$423,"&gt;="&amp;DATE(YEAR(VALUE('Falls Summary'!$E$8)),1,1),'Falls Data Entry'!$H$6:$H$423,"&lt;="&amp;DATE(YEAR(VALUE('Falls Summary'!$E$8)),12,31),'Falls Data Entry'!$A$6:$A$423,D53)</f>
        <v>0</v>
      </c>
      <c r="H53" s="82" t="str">
        <f>IFERROR(G53/$G$15," ")</f>
        <v xml:space="preserve"> </v>
      </c>
    </row>
    <row r="54" spans="1:8" ht="17.25" x14ac:dyDescent="0.3">
      <c r="A54" s="7">
        <v>4.9705882352941204</v>
      </c>
      <c r="B54" s="7"/>
      <c r="C54" s="83"/>
      <c r="D54" s="84" t="str">
        <f>IF(ISNONTEXT($F$7),"",$F$7)</f>
        <v/>
      </c>
      <c r="E54" s="22">
        <f>COUNTIFS('Falls Data Entry'!$H$6:$H$423,"&lt;&gt;"&amp;" ",'Falls Data Entry'!$X$6:$X$423,"="&amp;"YES",'Falls Data Entry'!$H$6:$H$423,"&gt;="&amp;DATE(YEAR('Falls Summary'!$E$7),MONTH('Falls Summary'!$E$7),1),'Falls Data Entry'!$H$6:$H$423,"&lt;="&amp;EOMONTH(DATE(YEAR('Falls Summary'!$E$7),MONTH('Falls Summary'!$E$7),1),0),'Falls Data Entry'!$A$6:$A$423,D54)</f>
        <v>0</v>
      </c>
      <c r="F54" s="82" t="str">
        <f>IFERROR(E54/$E$16," ")</f>
        <v xml:space="preserve"> </v>
      </c>
      <c r="G54" s="22">
        <f>COUNTIFS('Falls Data Entry'!$H$6:$H$423,"&lt;&gt;"&amp;" ",'Falls Data Entry'!$X$6:$X$423,"="&amp;"YES",'Falls Data Entry'!$H$6:$H$423,"&gt;="&amp;DATE(YEAR(VALUE('Falls Summary'!$E$8)),1,1),'Falls Data Entry'!$H$6:$H$423,"&lt;="&amp;DATE(YEAR(VALUE('Falls Summary'!$E$8)),12,31),'Falls Data Entry'!$A$6:$A$423,D54)</f>
        <v>0</v>
      </c>
      <c r="H54" s="82" t="str">
        <f>IFERROR(G54/$G$16," ")</f>
        <v xml:space="preserve"> </v>
      </c>
    </row>
    <row r="55" spans="1:8" ht="18" thickBot="1" x14ac:dyDescent="0.35">
      <c r="A55" s="7">
        <v>5.2058823529411802</v>
      </c>
      <c r="B55" s="7"/>
      <c r="C55" s="83"/>
      <c r="D55" s="84" t="str">
        <f>IF(ISNONTEXT($G$7),"",$G$7)</f>
        <v/>
      </c>
      <c r="E55" s="22">
        <f>COUNTIFS('Falls Data Entry'!$H$6:$H$423,"&lt;&gt;"&amp;" ",'Falls Data Entry'!$X$6:$X$423,"="&amp;"YES",'Falls Data Entry'!$H$6:$H$423,"&gt;="&amp;DATE(YEAR('Falls Summary'!$E$7),MONTH('Falls Summary'!$E$7),1),'Falls Data Entry'!$H$6:$H$423,"&lt;="&amp;EOMONTH(DATE(YEAR('Falls Summary'!$E$7),MONTH('Falls Summary'!$E$7),1),0),'Falls Data Entry'!$A$6:$A$423,D55)</f>
        <v>0</v>
      </c>
      <c r="F55" s="82" t="str">
        <f>IFERROR(E55/$E$17," ")</f>
        <v xml:space="preserve"> </v>
      </c>
      <c r="G55" s="22">
        <f>COUNTIFS('Falls Data Entry'!$H$6:$H$423,"&lt;&gt;"&amp;" ",'Falls Data Entry'!$X$6:$X$423,"="&amp;"YES",'Falls Data Entry'!$H$6:$H$423,"&gt;="&amp;DATE(YEAR(VALUE('Falls Summary'!$E$8)),1,1),'Falls Data Entry'!$H$6:$H$423,"&lt;="&amp;DATE(YEAR(VALUE('Falls Summary'!$E$8)),12,31),'Falls Data Entry'!$A$6:$A$423,D55)</f>
        <v>0</v>
      </c>
      <c r="H55" s="82" t="str">
        <f>IFERROR(G55/$G$17," ")</f>
        <v xml:space="preserve"> </v>
      </c>
    </row>
    <row r="56" spans="1:8" ht="18.75" thickTop="1" thickBot="1" x14ac:dyDescent="0.35">
      <c r="A56" s="7">
        <v>6</v>
      </c>
      <c r="B56" s="7"/>
      <c r="C56" s="80" t="s">
        <v>28</v>
      </c>
      <c r="D56" s="81" t="s">
        <v>3</v>
      </c>
      <c r="E56" s="90">
        <f>COUNTIFS('Falls Data Entry'!$H$6:$H$423,"&lt;&gt;"&amp;" ",'Falls Data Entry'!$Y$6:$Y$423,"="&amp;"YES",'Falls Data Entry'!$H$6:$H$423,"&gt;="&amp;DATE(YEAR('Falls Summary'!$E$7),MONTH('Falls Summary'!$E$7),1),'Falls Data Entry'!$H$6:$H$423,"&lt;="&amp;EOMONTH(DATE(YEAR('Falls Summary'!$E$7),MONTH('Falls Summary'!$E$7),1),0))</f>
        <v>0</v>
      </c>
      <c r="F56" s="91" t="str">
        <f>IFERROR(E56/$E$14," ")</f>
        <v xml:space="preserve"> </v>
      </c>
      <c r="G56" s="92">
        <f>COUNTIFS('Falls Data Entry'!$H$6:$H$423,"&lt;&gt;"&amp;" ",'Falls Data Entry'!$Y$6:$Y$423,"="&amp;"YES",'Falls Data Entry'!$H$6:$H$423,"&gt;="&amp;DATE(YEAR(VALUE('Falls Summary'!$E$8)),1,1),'Falls Data Entry'!$H$6:$H$423,"&lt;="&amp;DATE(YEAR(VALUE('Falls Summary'!$E$8)),12,31))</f>
        <v>0</v>
      </c>
      <c r="H56" s="93" t="str">
        <f>IFERROR(G56/$G$14," ")</f>
        <v xml:space="preserve"> </v>
      </c>
    </row>
    <row r="57" spans="1:8" ht="18" thickTop="1" x14ac:dyDescent="0.3">
      <c r="A57" s="7">
        <v>5.6764705882352997</v>
      </c>
      <c r="B57" s="7"/>
      <c r="C57" s="83"/>
      <c r="D57" s="84" t="str">
        <f>IF(ISNONTEXT($E$7),"",$E$7)</f>
        <v>Unit 1</v>
      </c>
      <c r="E57" s="22">
        <f>COUNTIFS('Falls Data Entry'!$H$6:$H$423,"&lt;&gt;"&amp;" ",'Falls Data Entry'!$Y$6:$Y$423,"="&amp;"YES",'Falls Data Entry'!$H$6:$H$423,"&gt;="&amp;DATE(YEAR('Falls Summary'!$E$7),MONTH('Falls Summary'!$E$7),1),'Falls Data Entry'!$H$6:$H$423,"&lt;="&amp;EOMONTH(DATE(YEAR('Falls Summary'!$E$7),MONTH('Falls Summary'!$E$7),1),0),'Falls Data Entry'!$A$6:$A$423,D57)</f>
        <v>0</v>
      </c>
      <c r="F57" s="82" t="str">
        <f>IFERROR(E57/$E$15," ")</f>
        <v xml:space="preserve"> </v>
      </c>
      <c r="G57" s="22">
        <f>COUNTIFS('Falls Data Entry'!$H$6:$H$423,"&lt;&gt;"&amp;" ",'Falls Data Entry'!$Y$6:$Y$423,"="&amp;"YES",'Falls Data Entry'!$H$6:$H$423,"&gt;="&amp;DATE(YEAR(VALUE('Falls Summary'!$E$8)),1,1),'Falls Data Entry'!$H$6:$H$423,"&lt;="&amp;DATE(YEAR(VALUE('Falls Summary'!$E$8)),12,31),'Falls Data Entry'!$A$6:$A$423,D57)</f>
        <v>0</v>
      </c>
      <c r="H57" s="82" t="str">
        <f>IFERROR(G57/$G$15," ")</f>
        <v xml:space="preserve"> </v>
      </c>
    </row>
    <row r="58" spans="1:8" ht="17.25" x14ac:dyDescent="0.3">
      <c r="A58" s="7">
        <v>5.9117647058823497</v>
      </c>
      <c r="B58" s="7"/>
      <c r="C58" s="83"/>
      <c r="D58" s="84" t="str">
        <f>IF(ISNONTEXT($F$7),"",$F$7)</f>
        <v/>
      </c>
      <c r="E58" s="22">
        <f>COUNTIFS('Falls Data Entry'!$H$6:$H$423,"&lt;&gt;"&amp;" ",'Falls Data Entry'!$Y$6:$Y$423,"="&amp;"YES",'Falls Data Entry'!$H$6:$H$423,"&gt;="&amp;DATE(YEAR('Falls Summary'!$E$7),MONTH('Falls Summary'!$E$7),1),'Falls Data Entry'!$H$6:$H$423,"&lt;="&amp;EOMONTH(DATE(YEAR('Falls Summary'!$E$7),MONTH('Falls Summary'!$E$7),1),0),'Falls Data Entry'!$A$6:$A$423,D58)</f>
        <v>0</v>
      </c>
      <c r="F58" s="82" t="str">
        <f>IFERROR(E58/$E$16," ")</f>
        <v xml:space="preserve"> </v>
      </c>
      <c r="G58" s="22">
        <f>COUNTIFS('Falls Data Entry'!$H$6:$H$423,"&lt;&gt;"&amp;" ",'Falls Data Entry'!$Y$6:$Y$423,"="&amp;"YES",'Falls Data Entry'!$H$6:$H$423,"&gt;="&amp;DATE(YEAR(VALUE('Falls Summary'!$E$8)),1,1),'Falls Data Entry'!$H$6:$H$423,"&lt;="&amp;DATE(YEAR(VALUE('Falls Summary'!$E$8)),12,31),'Falls Data Entry'!$A$6:$A$423,D58)</f>
        <v>0</v>
      </c>
      <c r="H58" s="82" t="str">
        <f>IFERROR(G58/$G$16," ")</f>
        <v xml:space="preserve"> </v>
      </c>
    </row>
    <row r="59" spans="1:8" ht="18" thickBot="1" x14ac:dyDescent="0.35">
      <c r="A59" s="7">
        <v>6.1470588235294104</v>
      </c>
      <c r="B59" s="7"/>
      <c r="C59" s="83"/>
      <c r="D59" s="84" t="str">
        <f>IF(ISNONTEXT($G$7),"",$G$7)</f>
        <v/>
      </c>
      <c r="E59" s="22">
        <f>COUNTIFS('Falls Data Entry'!$H$6:$H$423,"&lt;&gt;"&amp;" ",'Falls Data Entry'!$Y$6:$Y$423,"="&amp;"YES",'Falls Data Entry'!$H$6:$H$423,"&gt;="&amp;DATE(YEAR('Falls Summary'!$E$7),MONTH('Falls Summary'!$E$7),1),'Falls Data Entry'!$H$6:$H$423,"&lt;="&amp;EOMONTH(DATE(YEAR('Falls Summary'!$E$7),MONTH('Falls Summary'!$E$7),1),0),'Falls Data Entry'!$A$6:$A$423,D59)</f>
        <v>0</v>
      </c>
      <c r="F59" s="82" t="str">
        <f>IFERROR(E59/$E$17," ")</f>
        <v xml:space="preserve"> </v>
      </c>
      <c r="G59" s="22">
        <f>COUNTIFS('Falls Data Entry'!$H$6:$H$423,"&lt;&gt;"&amp;" ",'Falls Data Entry'!$Y$6:$Y$423,"="&amp;"YES",'Falls Data Entry'!$H$6:$H$423,"&gt;="&amp;DATE(YEAR(VALUE('Falls Summary'!$E$8)),1,1),'Falls Data Entry'!$H$6:$H$423,"&lt;="&amp;DATE(YEAR(VALUE('Falls Summary'!$E$8)),12,31),'Falls Data Entry'!$A$6:$A$423,D59)</f>
        <v>0</v>
      </c>
      <c r="H59" s="82" t="str">
        <f>IFERROR(G59/$G$17," ")</f>
        <v xml:space="preserve"> </v>
      </c>
    </row>
    <row r="60" spans="1:8" ht="18.75" thickTop="1" thickBot="1" x14ac:dyDescent="0.35">
      <c r="A60" s="7">
        <v>7</v>
      </c>
      <c r="B60" s="46" t="s">
        <v>23</v>
      </c>
      <c r="C60" s="80" t="s">
        <v>29</v>
      </c>
      <c r="D60" s="81" t="s">
        <v>3</v>
      </c>
      <c r="E60" s="90">
        <f>COUNTIFS('Falls Data Entry'!$H$6:$H$423,"&lt;&gt;"&amp;" ",'Falls Data Entry'!$Z$6:$Z$423,"="&amp;"YES",'Falls Data Entry'!$H$6:$H$423,"&gt;="&amp;DATE(YEAR('Falls Summary'!$E$7),MONTH('Falls Summary'!$E$7),1),'Falls Data Entry'!$H$6:$H$423,"&lt;="&amp;EOMONTH(DATE(YEAR('Falls Summary'!$E$7),MONTH('Falls Summary'!$E$7),1),0))</f>
        <v>0</v>
      </c>
      <c r="F60" s="91" t="str">
        <f>IFERROR(E60/$E$14," ")</f>
        <v xml:space="preserve"> </v>
      </c>
      <c r="G60" s="92">
        <f>COUNTIFS('Falls Data Entry'!$H$6:$H$423,"&lt;&gt;"&amp;" ",'Falls Data Entry'!$Z$6:$Z$423,"="&amp;"YES",'Falls Data Entry'!$H$6:$H$423,"&gt;="&amp;DATE(YEAR(VALUE('Falls Summary'!$E$8)),1,1),'Falls Data Entry'!$H$6:$H$423,"&lt;="&amp;DATE(YEAR(VALUE('Falls Summary'!$E$8)),12,31))</f>
        <v>0</v>
      </c>
      <c r="H60" s="93" t="str">
        <f>IFERROR(G60/$G$14," ")</f>
        <v xml:space="preserve"> </v>
      </c>
    </row>
    <row r="61" spans="1:8" ht="18" thickTop="1" x14ac:dyDescent="0.3">
      <c r="A61" s="7">
        <v>6.6176470588235299</v>
      </c>
      <c r="B61" s="46" t="s">
        <v>30</v>
      </c>
      <c r="C61" s="87"/>
      <c r="D61" s="84" t="str">
        <f>IF(ISNONTEXT($E$7),"",$E$7)</f>
        <v>Unit 1</v>
      </c>
      <c r="E61" s="22">
        <f>COUNTIFS('Falls Data Entry'!$H$6:$H$423,"&lt;&gt;"&amp;" ",'Falls Data Entry'!$Z$6:$Z$423,"="&amp;"YES",'Falls Data Entry'!$H$6:$H$423,"&gt;="&amp;DATE(YEAR('Falls Summary'!$E$7),MONTH('Falls Summary'!$E$7),1),'Falls Data Entry'!$H$6:$H$423,"&lt;="&amp;EOMONTH(DATE(YEAR('Falls Summary'!$E$7),MONTH('Falls Summary'!$E$7),1),0),'Falls Data Entry'!$A$6:$A$423,D61)</f>
        <v>0</v>
      </c>
      <c r="F61" s="82" t="str">
        <f>IFERROR(E61/$E$15," ")</f>
        <v xml:space="preserve"> </v>
      </c>
      <c r="G61" s="22">
        <f>COUNTIFS('Falls Data Entry'!$H$6:$H$423,"&lt;&gt;"&amp;" ",'Falls Data Entry'!$Z$6:$Z$423,"="&amp;"YES",'Falls Data Entry'!$H$6:$H$423,"&gt;="&amp;DATE(YEAR(VALUE('Falls Summary'!$E$8)),1,1),'Falls Data Entry'!$H$6:$H$423,"&lt;="&amp;DATE(YEAR(VALUE('Falls Summary'!$E$8)),12,31),'Falls Data Entry'!$A$6:$A$423,D61)</f>
        <v>0</v>
      </c>
      <c r="H61" s="82" t="str">
        <f>IFERROR(G61/$G$15," ")</f>
        <v xml:space="preserve"> </v>
      </c>
    </row>
    <row r="62" spans="1:8" ht="17.25" x14ac:dyDescent="0.3">
      <c r="A62" s="7">
        <v>6.8529411764705896</v>
      </c>
      <c r="B62" s="46" t="s">
        <v>31</v>
      </c>
      <c r="C62" s="87"/>
      <c r="D62" s="84" t="str">
        <f>IF(ISNONTEXT($F$7),"",$F$7)</f>
        <v/>
      </c>
      <c r="E62" s="22">
        <f>COUNTIFS('Falls Data Entry'!$H$6:$H$423,"&lt;&gt;"&amp;" ",'Falls Data Entry'!$Z$6:$Z$423,"="&amp;"YES",'Falls Data Entry'!$H$6:$H$423,"&gt;="&amp;DATE(YEAR('Falls Summary'!$E$7),MONTH('Falls Summary'!$E$7),1),'Falls Data Entry'!$H$6:$H$423,"&lt;="&amp;EOMONTH(DATE(YEAR('Falls Summary'!$E$7),MONTH('Falls Summary'!$E$7),1),0),'Falls Data Entry'!$A$6:$A$423,D62)</f>
        <v>0</v>
      </c>
      <c r="F62" s="82" t="str">
        <f>IFERROR(E62/$E$16," ")</f>
        <v xml:space="preserve"> </v>
      </c>
      <c r="G62" s="22">
        <f>COUNTIFS('Falls Data Entry'!$H$6:$H$423,"&lt;&gt;"&amp;" ",'Falls Data Entry'!$Z$6:$Z$423,"="&amp;"YES",'Falls Data Entry'!$H$6:$H$423,"&gt;="&amp;DATE(YEAR(VALUE('Falls Summary'!$E$8)),1,1),'Falls Data Entry'!$H$6:$H$423,"&lt;="&amp;DATE(YEAR(VALUE('Falls Summary'!$E$8)),12,31),'Falls Data Entry'!$A$6:$A$423,D62)</f>
        <v>0</v>
      </c>
      <c r="H62" s="82" t="str">
        <f>IFERROR(G62/$G$16," ")</f>
        <v xml:space="preserve"> </v>
      </c>
    </row>
    <row r="63" spans="1:8" ht="18" thickBot="1" x14ac:dyDescent="0.35">
      <c r="A63" s="7">
        <v>7.0882352941176503</v>
      </c>
      <c r="B63" s="46" t="s">
        <v>25</v>
      </c>
      <c r="C63" s="87"/>
      <c r="D63" s="84" t="str">
        <f>IF(ISNONTEXT($G$7),"",$G$7)</f>
        <v/>
      </c>
      <c r="E63" s="22">
        <f>COUNTIFS('Falls Data Entry'!$H$6:$H$423,"&lt;&gt;"&amp;" ",'Falls Data Entry'!$Z$6:$Z$423,"="&amp;"YES",'Falls Data Entry'!$H$6:$H$423,"&gt;="&amp;DATE(YEAR('Falls Summary'!$E$7),MONTH('Falls Summary'!$E$7),1),'Falls Data Entry'!$H$6:$H$423,"&lt;="&amp;EOMONTH(DATE(YEAR('Falls Summary'!$E$7),MONTH('Falls Summary'!$E$7),1),0),'Falls Data Entry'!$A$6:$A$423,D63)</f>
        <v>0</v>
      </c>
      <c r="F63" s="82" t="str">
        <f>IFERROR(E63/$E$17," ")</f>
        <v xml:space="preserve"> </v>
      </c>
      <c r="G63" s="22">
        <f>COUNTIFS('Falls Data Entry'!$H$6:$H$423,"&lt;&gt;"&amp;" ",'Falls Data Entry'!$Z$6:$Z$423,"="&amp;"YES",'Falls Data Entry'!$H$6:$H$423,"&gt;="&amp;DATE(YEAR(VALUE('Falls Summary'!$E$8)),1,1),'Falls Data Entry'!$H$6:$H$423,"&lt;="&amp;DATE(YEAR(VALUE('Falls Summary'!$E$8)),12,31),'Falls Data Entry'!$A$6:$A$423,D63)</f>
        <v>0</v>
      </c>
      <c r="H63" s="82" t="str">
        <f>IFERROR(G63/$G$17," ")</f>
        <v xml:space="preserve"> </v>
      </c>
    </row>
    <row r="64" spans="1:8" ht="18.75" thickTop="1" thickBot="1" x14ac:dyDescent="0.35">
      <c r="A64" s="7">
        <v>8</v>
      </c>
      <c r="B64" s="46" t="s">
        <v>26</v>
      </c>
      <c r="C64" s="80" t="s">
        <v>32</v>
      </c>
      <c r="D64" s="81" t="s">
        <v>3</v>
      </c>
      <c r="E64" s="90">
        <f>COUNTIFS('Falls Data Entry'!$H$6:$H$423,"&lt;&gt;"&amp;" ",'Falls Data Entry'!$AA$6:$AA$423,"="&amp;"YES",'Falls Data Entry'!$H$6:$H$423,"&gt;="&amp;DATE(YEAR('Falls Summary'!$E$7),MONTH('Falls Summary'!$E$7),1),'Falls Data Entry'!$H$6:$H$423,"&lt;="&amp;EOMONTH(DATE(YEAR('Falls Summary'!$E$7),MONTH('Falls Summary'!$E$7),1),0))</f>
        <v>0</v>
      </c>
      <c r="F64" s="91" t="str">
        <f>IFERROR(E64/$E$14," ")</f>
        <v xml:space="preserve"> </v>
      </c>
      <c r="G64" s="92">
        <f>COUNTIFS('Falls Data Entry'!$H$6:$H$423,"&lt;&gt;"&amp;" ",'Falls Data Entry'!$AA$6:$AA$423,"="&amp;"YES",'Falls Data Entry'!$H$6:$H$423,"&gt;="&amp;DATE(YEAR(VALUE('Falls Summary'!$E$8)),1,1),'Falls Data Entry'!$H$6:$H$423,"&lt;="&amp;DATE(YEAR(VALUE('Falls Summary'!$E$8)),12,31))</f>
        <v>0</v>
      </c>
      <c r="H64" s="93" t="str">
        <f>IFERROR(G64/$G$14," ")</f>
        <v xml:space="preserve"> </v>
      </c>
    </row>
    <row r="65" spans="1:8" ht="18" thickTop="1" x14ac:dyDescent="0.3">
      <c r="A65" s="7">
        <v>7.5588235294117698</v>
      </c>
      <c r="B65" s="46" t="s">
        <v>33</v>
      </c>
      <c r="C65" s="87"/>
      <c r="D65" s="84" t="str">
        <f>IF(ISNONTEXT($E$7),"",$E$7)</f>
        <v>Unit 1</v>
      </c>
      <c r="E65" s="22">
        <f>COUNTIFS('Falls Data Entry'!$H$6:$H$423,"&lt;&gt;"&amp;" ",'Falls Data Entry'!$AA$6:$AA$423,"="&amp;"YES",'Falls Data Entry'!$H$6:$H$423,"&gt;="&amp;DATE(YEAR('Falls Summary'!$E$7),MONTH('Falls Summary'!$E$7),1),'Falls Data Entry'!$H$6:$H$423,"&lt;="&amp;EOMONTH(DATE(YEAR('Falls Summary'!$E$7),MONTH('Falls Summary'!$E$7),1),0),'Falls Data Entry'!$A$6:$A$423,D65)</f>
        <v>0</v>
      </c>
      <c r="F65" s="82" t="str">
        <f>IFERROR(E65/$E$15," ")</f>
        <v xml:space="preserve"> </v>
      </c>
      <c r="G65" s="22">
        <f>COUNTIFS('Falls Data Entry'!$H$6:$H$423,"&lt;&gt;"&amp;" ",'Falls Data Entry'!$AA$6:$AA$423,"="&amp;"YES",'Falls Data Entry'!$H$6:$H$423,"&gt;="&amp;DATE(YEAR(VALUE('Falls Summary'!$E$8)),1,1),'Falls Data Entry'!$H$6:$H$423,"&lt;="&amp;DATE(YEAR(VALUE('Falls Summary'!$E$8)),12,31),'Falls Data Entry'!$A$6:$A$423,D65)</f>
        <v>0</v>
      </c>
      <c r="H65" s="82" t="str">
        <f>IFERROR(G65/$G$15," ")</f>
        <v xml:space="preserve"> </v>
      </c>
    </row>
    <row r="66" spans="1:8" ht="17.25" x14ac:dyDescent="0.3">
      <c r="A66" s="7">
        <v>7.7941176470588198</v>
      </c>
      <c r="B66" s="46" t="s">
        <v>34</v>
      </c>
      <c r="C66" s="87"/>
      <c r="D66" s="84" t="str">
        <f>IF(ISNONTEXT($F$7),"",$F$7)</f>
        <v/>
      </c>
      <c r="E66" s="22">
        <f>COUNTIFS('Falls Data Entry'!$H$6:$H$423,"&lt;&gt;"&amp;" ",'Falls Data Entry'!$AA$6:$AA$423,"="&amp;"YES",'Falls Data Entry'!$H$6:$H$423,"&gt;="&amp;DATE(YEAR('Falls Summary'!$E$7),MONTH('Falls Summary'!$E$7),1),'Falls Data Entry'!$H$6:$H$423,"&lt;="&amp;EOMONTH(DATE(YEAR('Falls Summary'!$E$7),MONTH('Falls Summary'!$E$7),1),0),'Falls Data Entry'!$A$6:$A$423,D66)</f>
        <v>0</v>
      </c>
      <c r="F66" s="82" t="str">
        <f>IFERROR(E66/$E$16," ")</f>
        <v xml:space="preserve"> </v>
      </c>
      <c r="G66" s="22">
        <f>COUNTIFS('Falls Data Entry'!$H$6:$H$423,"&lt;&gt;"&amp;" ",'Falls Data Entry'!$AA$6:$AA$423,"="&amp;"YES",'Falls Data Entry'!$H$6:$H$423,"&gt;="&amp;DATE(YEAR(VALUE('Falls Summary'!$E$8)),1,1),'Falls Data Entry'!$H$6:$H$423,"&lt;="&amp;DATE(YEAR(VALUE('Falls Summary'!$E$8)),12,31),'Falls Data Entry'!$A$6:$A$423,D66)</f>
        <v>0</v>
      </c>
      <c r="H66" s="82" t="str">
        <f>IFERROR(G66/$G$16," ")</f>
        <v xml:space="preserve"> </v>
      </c>
    </row>
    <row r="67" spans="1:8" ht="17.25" x14ac:dyDescent="0.3">
      <c r="A67" s="7">
        <v>8.0294117647058805</v>
      </c>
      <c r="B67" s="46" t="s">
        <v>29</v>
      </c>
      <c r="C67" s="16"/>
      <c r="D67" s="94" t="str">
        <f>IF(ISNONTEXT($G$7),"",$G$7)</f>
        <v/>
      </c>
      <c r="E67" s="16">
        <f>COUNTIFS('Falls Data Entry'!$H$6:$H$423,"&lt;&gt;"&amp;" ",'Falls Data Entry'!$AA$6:$AA$423,"="&amp;"YES",'Falls Data Entry'!$H$6:$H$423,"&gt;="&amp;DATE(YEAR('Falls Summary'!$E$7),MONTH('Falls Summary'!$E$7),1),'Falls Data Entry'!$H$6:$H$423,"&lt;="&amp;EOMONTH(DATE(YEAR('Falls Summary'!$E$7),MONTH('Falls Summary'!$E$7),1),0),'Falls Data Entry'!$A$6:$A$423,D67)</f>
        <v>0</v>
      </c>
      <c r="F67" s="95" t="str">
        <f>IFERROR(E67/$E$17," ")</f>
        <v xml:space="preserve"> </v>
      </c>
      <c r="G67" s="16">
        <f>COUNTIFS('Falls Data Entry'!$H$6:$H$423,"&lt;&gt;"&amp;" ",'Falls Data Entry'!$AA$6:$AA$423,"="&amp;"YES",'Falls Data Entry'!$H$6:$H$423,"&gt;="&amp;DATE(YEAR(VALUE('Falls Summary'!$E$8)),1,1),'Falls Data Entry'!$H$6:$H$423,"&lt;="&amp;DATE(YEAR(VALUE('Falls Summary'!$E$8)),12,31),'Falls Data Entry'!$A$6:$A$423,D67)</f>
        <v>0</v>
      </c>
      <c r="H67" s="95" t="str">
        <f>IFERROR(G67/$G$17," ")</f>
        <v xml:space="preserve"> </v>
      </c>
    </row>
    <row r="68" spans="1:8" ht="17.25" x14ac:dyDescent="0.3">
      <c r="A68" s="7"/>
      <c r="B68" s="46"/>
      <c r="C68" s="80"/>
      <c r="D68" s="81"/>
      <c r="E68" s="22"/>
      <c r="F68" s="82"/>
      <c r="G68" s="22"/>
      <c r="H68" s="82"/>
    </row>
    <row r="69" spans="1:8" ht="17.25" x14ac:dyDescent="0.3">
      <c r="A69" s="7"/>
      <c r="B69" s="7"/>
      <c r="C69" s="87"/>
      <c r="D69" s="84"/>
      <c r="E69" s="22"/>
      <c r="F69" s="82"/>
      <c r="G69" s="22"/>
      <c r="H69" s="82"/>
    </row>
    <row r="70" spans="1:8" ht="17.25" x14ac:dyDescent="0.3">
      <c r="A70" s="7"/>
      <c r="B70" s="7"/>
      <c r="C70" s="87"/>
      <c r="D70" s="84"/>
      <c r="E70" s="22"/>
      <c r="F70" s="82"/>
      <c r="G70" s="22"/>
      <c r="H70" s="82"/>
    </row>
    <row r="71" spans="1:8" ht="17.25" x14ac:dyDescent="0.3">
      <c r="A71" s="7"/>
      <c r="B71" s="7"/>
      <c r="C71" s="96"/>
      <c r="D71" s="84"/>
      <c r="E71" s="22"/>
      <c r="F71" s="82"/>
      <c r="G71" s="22"/>
      <c r="H71" s="82"/>
    </row>
    <row r="72" spans="1:8" ht="17.25" x14ac:dyDescent="0.3">
      <c r="A72" s="7"/>
      <c r="B72" s="7"/>
      <c r="C72" s="7"/>
      <c r="D72" s="28"/>
      <c r="E72" s="7"/>
      <c r="F72" s="97"/>
      <c r="G72" s="7"/>
      <c r="H72" s="97"/>
    </row>
    <row r="73" spans="1:8" ht="17.25" x14ac:dyDescent="0.3">
      <c r="A73" s="7"/>
      <c r="B73" s="7"/>
      <c r="C73" s="7"/>
      <c r="D73" s="28"/>
      <c r="E73" s="7"/>
      <c r="F73" s="97"/>
      <c r="G73" s="7"/>
      <c r="H73" s="97"/>
    </row>
    <row r="74" spans="1:8" ht="17.25" x14ac:dyDescent="0.3">
      <c r="A74" s="7"/>
      <c r="B74" s="7"/>
      <c r="C74" s="7"/>
      <c r="D74" s="28"/>
      <c r="E74" s="7"/>
      <c r="F74" s="97"/>
      <c r="G74" s="7"/>
      <c r="H74" s="97"/>
    </row>
    <row r="75" spans="1:8" ht="17.25" x14ac:dyDescent="0.3">
      <c r="A75" s="7"/>
      <c r="B75" s="7"/>
      <c r="C75" s="7"/>
      <c r="D75" s="28"/>
      <c r="E75" s="7"/>
      <c r="F75" s="97"/>
      <c r="G75" s="7"/>
      <c r="H75" s="97"/>
    </row>
    <row r="76" spans="1:8" ht="44.45" customHeight="1" x14ac:dyDescent="0.3">
      <c r="A76" s="7"/>
      <c r="B76" s="7"/>
      <c r="C76" s="7"/>
      <c r="D76" s="7"/>
      <c r="E76" s="7"/>
      <c r="F76" s="69"/>
      <c r="G76" s="7"/>
      <c r="H76" s="69"/>
    </row>
    <row r="78" spans="1:8" ht="20.25" x14ac:dyDescent="0.35">
      <c r="A78" s="7"/>
      <c r="B78" s="7"/>
      <c r="C78" s="76" t="s">
        <v>35</v>
      </c>
      <c r="D78" s="44"/>
      <c r="E78" s="168">
        <f>$E$9</f>
        <v>46174</v>
      </c>
      <c r="F78" s="168"/>
      <c r="G78" s="169" t="s">
        <v>11</v>
      </c>
      <c r="H78" s="169"/>
    </row>
    <row r="79" spans="1:8" ht="17.25" x14ac:dyDescent="0.3">
      <c r="A79" s="7"/>
      <c r="B79" s="7"/>
      <c r="C79" s="87"/>
      <c r="D79" s="7"/>
      <c r="E79" s="88" t="s">
        <v>36</v>
      </c>
      <c r="F79" s="89" t="s">
        <v>37</v>
      </c>
      <c r="G79" s="88" t="s">
        <v>36</v>
      </c>
      <c r="H79" s="89" t="s">
        <v>37</v>
      </c>
    </row>
    <row r="80" spans="1:8" ht="17.25" x14ac:dyDescent="0.3">
      <c r="A80" s="7"/>
      <c r="B80" s="7"/>
      <c r="C80" s="80" t="s">
        <v>38</v>
      </c>
      <c r="D80" s="81" t="s">
        <v>3</v>
      </c>
      <c r="E80" s="22">
        <f>COUNTIFS('Falls Data Entry'!$H$6:$H$423,"&lt;&gt;"&amp;" ",'Falls Data Entry'!$J$6:$J$423,"="&amp;"Sun",'Falls Data Entry'!$H$6:$H$423,"&gt;="&amp;DATE(YEAR(calc!$E$9),MONTH(calc!$E$9),1),'Falls Data Entry'!$H$6:$H$423,"&lt;="&amp;EOMONTH(DATE(YEAR(calc!$E$9),MONTH(calc!$E$9),1),0))</f>
        <v>0</v>
      </c>
      <c r="F80" s="82" t="str">
        <f>IFERROR(E80/($E$80+$E$84+$E$88+$E$92+$E$96+$E$100+$E$104)," ")</f>
        <v xml:space="preserve"> </v>
      </c>
      <c r="G80" s="22">
        <f>COUNTIFS('Falls Data Entry'!$H$6:$H$423,"&lt;&gt;"&amp;" ",'Falls Data Entry'!$J$6:$J$423,"="&amp;"Sun",'Falls Data Entry'!$H$6:$H$423,"&gt;="&amp;DATE(YEAR(VALUE(calc!$E$10)),1,1),'Falls Data Entry'!$H$6:$H$423,"&lt;="&amp;DATE(YEAR(VALUE(calc!$E$10)),12,31))</f>
        <v>0</v>
      </c>
      <c r="H80" s="82" t="str">
        <f>IFERROR(G80/($E$80+$E$84+$E$88+$E$92+$E$96+$E$100+$E$104)," ")</f>
        <v xml:space="preserve"> </v>
      </c>
    </row>
    <row r="81" spans="3:8" ht="17.25" x14ac:dyDescent="0.3">
      <c r="C81" s="83"/>
      <c r="D81" s="84" t="str">
        <f>IF(ISNONTEXT($E$7),"",$E$7)</f>
        <v>Unit 1</v>
      </c>
      <c r="E81" s="22">
        <f>COUNTIFS('Falls Data Entry'!$H$6:$H$423,"&lt;&gt;"&amp;" ",'Falls Data Entry'!$J$6:$J$423,"="&amp;"Sun",'Falls Data Entry'!$H$6:$H$423,"&gt;="&amp;DATE(YEAR(calc!$E$9),MONTH(calc!$E$9),1),'Falls Data Entry'!$H$6:$H$423,"&lt;="&amp;EOMONTH(DATE(YEAR(calc!$E$9),MONTH(calc!$E$9),1),0),'Falls Data Entry'!$A$6:$A$423,D81)</f>
        <v>0</v>
      </c>
      <c r="F81" s="82" t="str">
        <f>IFERROR(E81/($E$81+$E$85+$E$89+$E$93+$E$97+$E$101+$E$105)," ")</f>
        <v xml:space="preserve"> </v>
      </c>
      <c r="G81" s="22">
        <f>COUNTIFS('Falls Data Entry'!$H$6:$H$423,"&lt;&gt;"&amp;" ",'Falls Data Entry'!$J$6:$J$423,"="&amp;"Sun",'Falls Data Entry'!$H$6:$H$423,"&gt;="&amp;DATE(YEAR(VALUE(calc!$E$10)),1,1),'Falls Data Entry'!$H$6:$H$423,"&lt;="&amp;DATE(YEAR(VALUE(calc!$E$10)),12,31),'Falls Data Entry'!$A$6:$A$423,D81)</f>
        <v>0</v>
      </c>
      <c r="H81" s="82" t="str">
        <f>IFERROR(G81/($E$81+$E$85+$E$89+$E$93+$E$97+$E$101+$E$105)," ")</f>
        <v xml:space="preserve"> </v>
      </c>
    </row>
    <row r="82" spans="3:8" ht="17.25" x14ac:dyDescent="0.3">
      <c r="C82" s="83"/>
      <c r="D82" s="84" t="str">
        <f>IF(ISNONTEXT($F$7),"",$F$7)</f>
        <v/>
      </c>
      <c r="E82" s="22">
        <f>COUNTIFS('Falls Data Entry'!$H$6:$H$423,"&lt;&gt;"&amp;" ",'Falls Data Entry'!$J$6:$J$423,"="&amp;"Sun",'Falls Data Entry'!$H$6:$H$423,"&gt;="&amp;DATE(YEAR(calc!$E$9),MONTH(calc!$E$9),1),'Falls Data Entry'!$H$6:$H$423,"&lt;="&amp;EOMONTH(DATE(YEAR(calc!$E$9),MONTH(calc!$E$9),1),0),'Falls Data Entry'!$A$6:$A$423,D82)</f>
        <v>0</v>
      </c>
      <c r="F82" s="82" t="str">
        <f>IFERROR(E82/($E$82+$E$86+$E$90+$E$94+$E$98+$E$102+$E$106)," ")</f>
        <v xml:space="preserve"> </v>
      </c>
      <c r="G82" s="22">
        <f>COUNTIFS('Falls Data Entry'!$H$6:$H$423,"&lt;&gt;"&amp;" ",'Falls Data Entry'!$J$6:$J$423,"="&amp;"Sun",'Falls Data Entry'!$H$6:$H$423,"&gt;="&amp;DATE(YEAR(VALUE(calc!$E$10)),1,1),'Falls Data Entry'!$H$6:$H$423,"&lt;="&amp;DATE(YEAR(VALUE(calc!$E$10)),12,31),'Falls Data Entry'!$A$6:$A$423,D82)</f>
        <v>0</v>
      </c>
      <c r="H82" s="82" t="str">
        <f>IFERROR(G82/($E$82+$E$86+$E$90+$E$94+$E$98+$E$102+$E$106)," ")</f>
        <v xml:space="preserve"> </v>
      </c>
    </row>
    <row r="83" spans="3:8" ht="17.25" x14ac:dyDescent="0.3">
      <c r="C83" s="83"/>
      <c r="D83" s="84" t="str">
        <f>IF(ISNONTEXT($G$7),"",$G$7)</f>
        <v/>
      </c>
      <c r="E83" s="22">
        <f>COUNTIFS('Falls Data Entry'!$H$6:$H$423,"&lt;&gt;"&amp;" ",'Falls Data Entry'!$J$6:$J$423,"="&amp;"Sun",'Falls Data Entry'!$H$6:$H$423,"&gt;="&amp;DATE(YEAR(calc!$E$9),MONTH(calc!$E$9),1),'Falls Data Entry'!$H$6:$H$423,"&lt;="&amp;EOMONTH(DATE(YEAR(calc!$E$9),MONTH(calc!$E$9),1),0),'Falls Data Entry'!$A$6:$A$423,D83)</f>
        <v>0</v>
      </c>
      <c r="F83" s="82" t="str">
        <f>IFERROR(E83/($E$83+$E$87+$E$91+$E$95+$E$99+$E$103+$E$107)," ")</f>
        <v xml:space="preserve"> </v>
      </c>
      <c r="G83" s="22">
        <f>COUNTIFS('Falls Data Entry'!$H$6:$H$423,"&lt;&gt;"&amp;" ",'Falls Data Entry'!$J$6:$J$423,"="&amp;"Sun",'Falls Data Entry'!$H$6:$H$423,"&gt;="&amp;DATE(YEAR(VALUE(calc!$E$10)),1,1),'Falls Data Entry'!$H$6:$H$423,"&lt;="&amp;DATE(YEAR(VALUE(calc!$E$10)),12,31),'Falls Data Entry'!$A$6:$A$423,D83)</f>
        <v>0</v>
      </c>
      <c r="H83" s="82" t="str">
        <f>IFERROR(G83/($E$83+$E$87+$E$91+$E$95+$E$99+$E$103+$E$107)," ")</f>
        <v xml:space="preserve"> </v>
      </c>
    </row>
    <row r="84" spans="3:8" ht="17.25" x14ac:dyDescent="0.3">
      <c r="C84" s="80" t="s">
        <v>39</v>
      </c>
      <c r="D84" s="81" t="s">
        <v>3</v>
      </c>
      <c r="E84" s="22">
        <f>COUNTIFS('Falls Data Entry'!$H$6:$H$423,"&lt;&gt;"&amp;" ",'Falls Data Entry'!$J$6:$J$423,"="&amp;"Mon",'Falls Data Entry'!$H$6:$H$423,"&gt;="&amp;DATE(YEAR(calc!$E$9),MONTH(calc!$E$9),1),'Falls Data Entry'!$H$6:$H$423,"&lt;="&amp;EOMONTH(DATE(YEAR(calc!$E$9),MONTH(calc!$E$9),1),0))</f>
        <v>0</v>
      </c>
      <c r="F84" s="82" t="str">
        <f>IFERROR(E84/($E$80+$E$84+$E$88+$E$92+$E$96+$E$100+$E$104)," ")</f>
        <v xml:space="preserve"> </v>
      </c>
      <c r="G84" s="22">
        <f>COUNTIFS('Falls Data Entry'!$H$6:$H$423,"&lt;&gt;"&amp;" ",'Falls Data Entry'!$J$6:$J$423,"="&amp;"Mon",'Falls Data Entry'!$H$6:$H$423,"&gt;="&amp;DATE(YEAR(VALUE(calc!$E$10)),1,1),'Falls Data Entry'!$H$6:$H$423,"&lt;="&amp;DATE(YEAR(VALUE(calc!$E$10)),12,31))</f>
        <v>0</v>
      </c>
      <c r="H84" s="82" t="str">
        <f>IFERROR(G84/($E$80+$E$84+$E$88+$E$92+$E$96+$E$100+$E$104)," ")</f>
        <v xml:space="preserve"> </v>
      </c>
    </row>
    <row r="85" spans="3:8" ht="17.25" x14ac:dyDescent="0.3">
      <c r="C85" s="83"/>
      <c r="D85" s="84" t="str">
        <f>IF(ISNONTEXT($E$7),"",$E$7)</f>
        <v>Unit 1</v>
      </c>
      <c r="E85" s="22">
        <f>COUNTIFS('Falls Data Entry'!$H$6:$H$423,"&lt;&gt;"&amp;" ",'Falls Data Entry'!$J$6:$J$423,"="&amp;"Mon",'Falls Data Entry'!$H$6:$H$423,"&gt;="&amp;DATE(YEAR(calc!$E$9),MONTH(calc!$E$9),1),'Falls Data Entry'!$H$6:$H$423,"&lt;="&amp;EOMONTH(DATE(YEAR(calc!$E$9),MONTH(calc!$E$9),1),0),'Falls Data Entry'!$A$6:$A$423,D85)</f>
        <v>0</v>
      </c>
      <c r="F85" s="82" t="str">
        <f>IFERROR(E85/($E$81+$E$85+$E$89+$E$93+$E$97+$E$101+$E$105)," ")</f>
        <v xml:space="preserve"> </v>
      </c>
      <c r="G85" s="22">
        <f>COUNTIFS('Falls Data Entry'!$H$6:$H$423,"&lt;&gt;"&amp;" ",'Falls Data Entry'!$J$6:$J$423,"="&amp;"Mon",'Falls Data Entry'!$H$6:$H$423,"&gt;="&amp;DATE(YEAR(VALUE(calc!$E$10)),1,1),'Falls Data Entry'!$H$6:$H$423,"&lt;="&amp;DATE(YEAR(VALUE(calc!$E$10)),12,31),'Falls Data Entry'!$A$6:$A$423,D85)</f>
        <v>0</v>
      </c>
      <c r="H85" s="82" t="str">
        <f>IFERROR(G85/($E$81+$E$85+$E$89+$E$93+$E$97+$E$101+$E$105)," ")</f>
        <v xml:space="preserve"> </v>
      </c>
    </row>
    <row r="86" spans="3:8" ht="17.25" x14ac:dyDescent="0.3">
      <c r="C86" s="83"/>
      <c r="D86" s="84" t="str">
        <f>IF(ISNONTEXT($F$7),"",$F$7)</f>
        <v/>
      </c>
      <c r="E86" s="22">
        <f>COUNTIFS('Falls Data Entry'!$H$6:$H$423,"&lt;&gt;"&amp;" ",'Falls Data Entry'!$J$6:$J$423,"="&amp;"Mon",'Falls Data Entry'!$H$6:$H$423,"&gt;="&amp;DATE(YEAR(calc!$E$9),MONTH(calc!$E$9),1),'Falls Data Entry'!$H$6:$H$423,"&lt;="&amp;EOMONTH(DATE(YEAR(calc!$E$9),MONTH(calc!$E$9),1),0),'Falls Data Entry'!$A$6:$A$423,D86)</f>
        <v>0</v>
      </c>
      <c r="F86" s="82" t="str">
        <f>IFERROR(E86/($E$82+$E$86+$E$90+$E$94+$E$98+$E$102+$E$106)," ")</f>
        <v xml:space="preserve"> </v>
      </c>
      <c r="G86" s="22">
        <f>COUNTIFS('Falls Data Entry'!$H$6:$H$423,"&lt;&gt;"&amp;" ",'Falls Data Entry'!$J$6:$J$423,"="&amp;"Mon",'Falls Data Entry'!$H$6:$H$423,"&gt;="&amp;DATE(YEAR(VALUE(calc!$E$10)),1,1),'Falls Data Entry'!$H$6:$H$423,"&lt;="&amp;DATE(YEAR(VALUE(calc!$E$10)),12,31),'Falls Data Entry'!$A$6:$A$423,D86)</f>
        <v>0</v>
      </c>
      <c r="H86" s="82" t="str">
        <f>IFERROR(G86/($E$82+$E$86+$E$90+$E$94+$E$98+$E$102+$E$106)," ")</f>
        <v xml:space="preserve"> </v>
      </c>
    </row>
    <row r="87" spans="3:8" ht="17.25" x14ac:dyDescent="0.3">
      <c r="C87" s="83"/>
      <c r="D87" s="84" t="str">
        <f>IF(ISNONTEXT($G$7),"",$G$7)</f>
        <v/>
      </c>
      <c r="E87" s="22">
        <f>COUNTIFS('Falls Data Entry'!$H$6:$H$423,"&lt;&gt;"&amp;" ",'Falls Data Entry'!$J$6:$J$423,"="&amp;"Mon",'Falls Data Entry'!$H$6:$H$423,"&gt;="&amp;DATE(YEAR(calc!$E$9),MONTH(calc!$E$9),1),'Falls Data Entry'!$H$6:$H$423,"&lt;="&amp;EOMONTH(DATE(YEAR(calc!$E$9),MONTH(calc!$E$9),1),0),'Falls Data Entry'!$A$6:$A$423,D87)</f>
        <v>0</v>
      </c>
      <c r="F87" s="82" t="str">
        <f>IFERROR(E87/($E$83+$E$87+$E$91+$E$95+$E$99+$E$103+$E$107)," ")</f>
        <v xml:space="preserve"> </v>
      </c>
      <c r="G87" s="22">
        <f>COUNTIFS('Falls Data Entry'!$H$6:$H$423,"&lt;&gt;"&amp;" ",'Falls Data Entry'!$J$6:$J$423,"="&amp;"Mon",'Falls Data Entry'!$H$6:$H$423,"&gt;="&amp;DATE(YEAR(VALUE(calc!$E$10)),1,1),'Falls Data Entry'!$H$6:$H$423,"&lt;="&amp;DATE(YEAR(VALUE(calc!$E$10)),12,31),'Falls Data Entry'!$A$6:$A$423,D87)</f>
        <v>0</v>
      </c>
      <c r="H87" s="82" t="str">
        <f>IFERROR(G87/($E$83+$E$87+$E$91+$E$95+$E$99+$E$103+$E$107)," ")</f>
        <v xml:space="preserve"> </v>
      </c>
    </row>
    <row r="88" spans="3:8" ht="17.25" x14ac:dyDescent="0.3">
      <c r="C88" s="80" t="s">
        <v>40</v>
      </c>
      <c r="D88" s="81" t="s">
        <v>3</v>
      </c>
      <c r="E88" s="22">
        <f>COUNTIFS('Falls Data Entry'!$H$6:$H$423,"&lt;&gt;"&amp;" ",'Falls Data Entry'!$J$6:$J$423,"="&amp;"Tue",'Falls Data Entry'!$H$6:$H$423,"&gt;="&amp;DATE(YEAR(calc!$E$9),MONTH(calc!$E$9),1),'Falls Data Entry'!$H$6:$H$423,"&lt;="&amp;EOMONTH(DATE(YEAR(calc!$E$9),MONTH(calc!$E$9),1),0))</f>
        <v>0</v>
      </c>
      <c r="F88" s="82" t="str">
        <f>IFERROR(E88/($E$80+$E$84+$E$88+$E$92+$E$96+$E$100+$E$104)," ")</f>
        <v xml:space="preserve"> </v>
      </c>
      <c r="G88" s="22">
        <f>COUNTIFS('Falls Data Entry'!$H$6:$H$423,"&lt;&gt;"&amp;" ",'Falls Data Entry'!$J$6:$J$423,"="&amp;"Tue",'Falls Data Entry'!$H$6:$H$423,"&gt;="&amp;DATE(YEAR(VALUE(calc!$E$10)),1,1),'Falls Data Entry'!$H$6:$H$423,"&lt;="&amp;DATE(YEAR(VALUE(calc!$E$10)),12,31))</f>
        <v>0</v>
      </c>
      <c r="H88" s="82" t="str">
        <f>IFERROR(G88/($E$80+$E$84+$E$88+$E$92+$E$96+$E$100+$E$104)," ")</f>
        <v xml:space="preserve"> </v>
      </c>
    </row>
    <row r="89" spans="3:8" ht="17.25" x14ac:dyDescent="0.3">
      <c r="C89" s="83"/>
      <c r="D89" s="84" t="str">
        <f>IF(ISNONTEXT($E$7),"",$E$7)</f>
        <v>Unit 1</v>
      </c>
      <c r="E89" s="22">
        <f>COUNTIFS('Falls Data Entry'!$H$6:$H$423,"&lt;&gt;"&amp;" ",'Falls Data Entry'!$J$6:$J$423,"="&amp;"Tue",'Falls Data Entry'!$H$6:$H$423,"&gt;="&amp;DATE(YEAR(calc!$E$9),MONTH(calc!$E$9),1),'Falls Data Entry'!$H$6:$H$423,"&lt;="&amp;EOMONTH(DATE(YEAR(calc!$E$9),MONTH(calc!$E$9),1),0),'Falls Data Entry'!$A$6:$A$423,D89)</f>
        <v>0</v>
      </c>
      <c r="F89" s="82" t="str">
        <f>IFERROR(E89/($E$81+$E$85+$E$89+$E$93+$E$97+$E$101+$E$105)," ")</f>
        <v xml:space="preserve"> </v>
      </c>
      <c r="G89" s="22">
        <f>COUNTIFS('Falls Data Entry'!$H$6:$H$423,"&lt;&gt;"&amp;" ",'Falls Data Entry'!$J$6:$J$423,"="&amp;"Tue",'Falls Data Entry'!$H$6:$H$423,"&gt;="&amp;DATE(YEAR(VALUE(calc!$E$10)),1,1),'Falls Data Entry'!$H$6:$H$423,"&lt;="&amp;DATE(YEAR(VALUE(calc!$E$10)),12,31),'Falls Data Entry'!$A$6:$A$423,D89)</f>
        <v>0</v>
      </c>
      <c r="H89" s="82" t="str">
        <f>IFERROR(G89/($E$81+$E$85+$E$89+$E$93+$E$97+$E$101+$E$105)," ")</f>
        <v xml:space="preserve"> </v>
      </c>
    </row>
    <row r="90" spans="3:8" ht="17.25" x14ac:dyDescent="0.3">
      <c r="C90" s="83"/>
      <c r="D90" s="84" t="str">
        <f>IF(ISNONTEXT($F$7),"",$F$7)</f>
        <v/>
      </c>
      <c r="E90" s="22">
        <f>COUNTIFS('Falls Data Entry'!$H$6:$H$423,"&lt;&gt;"&amp;" ",'Falls Data Entry'!$J$6:$J$423,"="&amp;"Tue",'Falls Data Entry'!$H$6:$H$423,"&gt;="&amp;DATE(YEAR(calc!$E$9),MONTH(calc!$E$9),1),'Falls Data Entry'!$H$6:$H$423,"&lt;="&amp;EOMONTH(DATE(YEAR(calc!$E$9),MONTH(calc!$E$9),1),0),'Falls Data Entry'!$A$6:$A$423,D90)</f>
        <v>0</v>
      </c>
      <c r="F90" s="82" t="str">
        <f>IFERROR(E90/($E$82+$E$86+$E$90+$E$94+$E$98+$E$102+$E$106)," ")</f>
        <v xml:space="preserve"> </v>
      </c>
      <c r="G90" s="22">
        <f>COUNTIFS('Falls Data Entry'!$H$6:$H$423,"&lt;&gt;"&amp;" ",'Falls Data Entry'!$J$6:$J$423,"="&amp;"Tue",'Falls Data Entry'!$H$6:$H$423,"&gt;="&amp;DATE(YEAR(VALUE(calc!$E$10)),1,1),'Falls Data Entry'!$H$6:$H$423,"&lt;="&amp;DATE(YEAR(VALUE(calc!$E$10)),12,31),'Falls Data Entry'!$A$6:$A$423,D90)</f>
        <v>0</v>
      </c>
      <c r="H90" s="82" t="str">
        <f>IFERROR(G90/($E$82+$E$86+$E$90+$E$94+$E$98+$E$102+$E$106)," ")</f>
        <v xml:space="preserve"> </v>
      </c>
    </row>
    <row r="91" spans="3:8" ht="17.25" x14ac:dyDescent="0.3">
      <c r="C91" s="83"/>
      <c r="D91" s="84" t="str">
        <f>IF(ISNONTEXT($G$7),"",$G$7)</f>
        <v/>
      </c>
      <c r="E91" s="22">
        <f>COUNTIFS('Falls Data Entry'!$H$6:$H$423,"&lt;&gt;"&amp;" ",'Falls Data Entry'!$J$6:$J$423,"="&amp;"Tue",'Falls Data Entry'!$H$6:$H$423,"&gt;="&amp;DATE(YEAR(calc!$E$9),MONTH(calc!$E$9),1),'Falls Data Entry'!$H$6:$H$423,"&lt;="&amp;EOMONTH(DATE(YEAR(calc!$E$9),MONTH(calc!$E$9),1),0),'Falls Data Entry'!$A$6:$A$423,D91)</f>
        <v>0</v>
      </c>
      <c r="F91" s="82" t="str">
        <f>IFERROR(E91/($E$83+$E$87+$E$91+$E$95+$E$99+$E$103+$E$107)," ")</f>
        <v xml:space="preserve"> </v>
      </c>
      <c r="G91" s="22">
        <f>COUNTIFS('Falls Data Entry'!$H$6:$H$423,"&lt;&gt;"&amp;" ",'Falls Data Entry'!$J$6:$J$423,"="&amp;"Tue",'Falls Data Entry'!$H$6:$H$423,"&gt;="&amp;DATE(YEAR(VALUE(calc!$E$10)),1,1),'Falls Data Entry'!$H$6:$H$423,"&lt;="&amp;DATE(YEAR(VALUE(calc!$E$10)),12,31),'Falls Data Entry'!$A$6:$A$423,D91)</f>
        <v>0</v>
      </c>
      <c r="H91" s="82" t="str">
        <f>IFERROR(G91/($E$83+$E$87+$E$91+$E$95+$E$99+$E$103+$E$107)," ")</f>
        <v xml:space="preserve"> </v>
      </c>
    </row>
    <row r="92" spans="3:8" ht="17.25" x14ac:dyDescent="0.3">
      <c r="C92" s="80" t="s">
        <v>41</v>
      </c>
      <c r="D92" s="81" t="s">
        <v>3</v>
      </c>
      <c r="E92" s="22">
        <f>COUNTIFS('Falls Data Entry'!$H$6:$H$423,"&lt;&gt;"&amp;" ",'Falls Data Entry'!$J$6:$J$423,"="&amp;"Wed",'Falls Data Entry'!$H$6:$H$423,"&gt;="&amp;DATE(YEAR(calc!$E$9),MONTH(calc!$E$9),1),'Falls Data Entry'!$H$6:$H$423,"&lt;="&amp;EOMONTH(DATE(YEAR(calc!$E$9),MONTH(calc!$E$9),1),0))</f>
        <v>0</v>
      </c>
      <c r="F92" s="82" t="str">
        <f>IFERROR(E92/($E$80+$E$84+$E$88+$E$92+$E$96+$E$100+$E$104)," ")</f>
        <v xml:space="preserve"> </v>
      </c>
      <c r="G92" s="22">
        <f>COUNTIFS('Falls Data Entry'!$H$6:$H$423,"&lt;&gt;"&amp;" ",'Falls Data Entry'!$J$6:$J$423,"="&amp;"Wed",'Falls Data Entry'!$H$6:$H$423,"&gt;="&amp;DATE(YEAR(VALUE(calc!$E$10)),1,1),'Falls Data Entry'!$H$6:$H$423,"&lt;="&amp;DATE(YEAR(VALUE(calc!$E$10)),12,31))</f>
        <v>0</v>
      </c>
      <c r="H92" s="82" t="str">
        <f>IFERROR(G92/($E$80+$E$84+$E$88+$E$92+$E$96+$E$100+$E$104)," ")</f>
        <v xml:space="preserve"> </v>
      </c>
    </row>
    <row r="93" spans="3:8" ht="17.25" x14ac:dyDescent="0.3">
      <c r="C93" s="87"/>
      <c r="D93" s="84" t="str">
        <f>IF(ISNONTEXT($E$7),"",$E$7)</f>
        <v>Unit 1</v>
      </c>
      <c r="E93" s="22">
        <f>COUNTIFS('Falls Data Entry'!$H$6:$H$423,"&lt;&gt;"&amp;" ",'Falls Data Entry'!$J$6:$J$423,"="&amp;"Wed",'Falls Data Entry'!$H$6:$H$423,"&gt;="&amp;DATE(YEAR(calc!$E$9),MONTH(calc!$E$9),1),'Falls Data Entry'!$H$6:$H$423,"&lt;="&amp;EOMONTH(DATE(YEAR(calc!$E$9),MONTH(calc!$E$9),1),0),'Falls Data Entry'!$A$6:$A$423,D93)</f>
        <v>0</v>
      </c>
      <c r="F93" s="82" t="str">
        <f>IFERROR(E93/($E$81+$E$85+$E$89+$E$93+$E$97+$E$101+$E$105)," ")</f>
        <v xml:space="preserve"> </v>
      </c>
      <c r="G93" s="22">
        <f>COUNTIFS('Falls Data Entry'!$H$6:$H$423,"&lt;&gt;"&amp;" ",'Falls Data Entry'!$J$6:$J$423,"="&amp;"Wed",'Falls Data Entry'!$H$6:$H$423,"&gt;="&amp;DATE(YEAR(VALUE(calc!$E$10)),1,1),'Falls Data Entry'!$H$6:$H$423,"&lt;="&amp;DATE(YEAR(VALUE(calc!$E$10)),12,31),'Falls Data Entry'!$A$6:$A$423,D93)</f>
        <v>0</v>
      </c>
      <c r="H93" s="82" t="str">
        <f>IFERROR(G93/($E$81+$E$85+$E$89+$E$93+$E$97+$E$101+$E$105)," ")</f>
        <v xml:space="preserve"> </v>
      </c>
    </row>
    <row r="94" spans="3:8" ht="17.25" x14ac:dyDescent="0.3">
      <c r="C94" s="87"/>
      <c r="D94" s="84" t="str">
        <f>IF(ISNONTEXT($F$7),"",$F$7)</f>
        <v/>
      </c>
      <c r="E94" s="22">
        <f>COUNTIFS('Falls Data Entry'!$H$6:$H$423,"&lt;&gt;"&amp;" ",'Falls Data Entry'!$J$6:$J$423,"="&amp;"Wed",'Falls Data Entry'!$H$6:$H$423,"&gt;="&amp;DATE(YEAR(calc!$E$9),MONTH(calc!$E$9),1),'Falls Data Entry'!$H$6:$H$423,"&lt;="&amp;EOMONTH(DATE(YEAR(calc!$E$9),MONTH(calc!$E$9),1),0),'Falls Data Entry'!$A$6:$A$423,D94)</f>
        <v>0</v>
      </c>
      <c r="F94" s="82" t="str">
        <f>IFERROR(E94/($E$82+$E$86+$E$90+$E$94+$E$98+$E$102+$E$106)," ")</f>
        <v xml:space="preserve"> </v>
      </c>
      <c r="G94" s="22">
        <f>COUNTIFS('Falls Data Entry'!$H$6:$H$423,"&lt;&gt;"&amp;" ",'Falls Data Entry'!$J$6:$J$423,"="&amp;"Wed",'Falls Data Entry'!$H$6:$H$423,"&gt;="&amp;DATE(YEAR(VALUE(calc!$E$10)),1,1),'Falls Data Entry'!$H$6:$H$423,"&lt;="&amp;DATE(YEAR(VALUE(calc!$E$10)),12,31),'Falls Data Entry'!$A$6:$A$423,D94)</f>
        <v>0</v>
      </c>
      <c r="H94" s="82" t="str">
        <f>IFERROR(G94/($E$82+$E$86+$E$90+$E$94+$E$98+$E$102+$E$106)," ")</f>
        <v xml:space="preserve"> </v>
      </c>
    </row>
    <row r="95" spans="3:8" ht="17.25" x14ac:dyDescent="0.3">
      <c r="C95" s="87"/>
      <c r="D95" s="84" t="str">
        <f>IF(ISNONTEXT($G$7),"",$G$7)</f>
        <v/>
      </c>
      <c r="E95" s="22">
        <f>COUNTIFS('Falls Data Entry'!$H$6:$H$423,"&lt;&gt;"&amp;" ",'Falls Data Entry'!$J$6:$J$423,"="&amp;"Wed",'Falls Data Entry'!$H$6:$H$423,"&gt;="&amp;DATE(YEAR(calc!$E$9),MONTH(calc!$E$9),1),'Falls Data Entry'!$H$6:$H$423,"&lt;="&amp;EOMONTH(DATE(YEAR(calc!$E$9),MONTH(calc!$E$9),1),0),'Falls Data Entry'!$A$6:$A$423,D95)</f>
        <v>0</v>
      </c>
      <c r="F95" s="82" t="str">
        <f>IFERROR(E95/($E$83+$E$87+$E$91+$E$95+$E$99+$E$103+$E$107)," ")</f>
        <v xml:space="preserve"> </v>
      </c>
      <c r="G95" s="22">
        <f>COUNTIFS('Falls Data Entry'!$H$6:$H$423,"&lt;&gt;"&amp;" ",'Falls Data Entry'!$J$6:$J$423,"="&amp;"Wed",'Falls Data Entry'!$H$6:$H$423,"&gt;="&amp;DATE(YEAR(VALUE(calc!$E$10)),1,1),'Falls Data Entry'!$H$6:$H$423,"&lt;="&amp;DATE(YEAR(VALUE(calc!$E$10)),12,31),'Falls Data Entry'!$A$6:$A$423,D95)</f>
        <v>0</v>
      </c>
      <c r="H95" s="82" t="str">
        <f>IFERROR(G95/($E$83+$E$87+$E$91+$E$95+$E$99+$E$103+$E$107)," ")</f>
        <v xml:space="preserve"> </v>
      </c>
    </row>
    <row r="96" spans="3:8" ht="17.25" x14ac:dyDescent="0.3">
      <c r="C96" s="80" t="s">
        <v>42</v>
      </c>
      <c r="D96" s="81" t="s">
        <v>3</v>
      </c>
      <c r="E96" s="22">
        <f>COUNTIFS('Falls Data Entry'!$H$6:$H$423,"&lt;&gt;"&amp;" ",'Falls Data Entry'!$J$6:$J$423,"="&amp;"Thu",'Falls Data Entry'!$H$6:$H$423,"&gt;="&amp;DATE(YEAR(calc!$E$9),MONTH(calc!$E$9),1),'Falls Data Entry'!$H$6:$H$423,"&lt;="&amp;EOMONTH(DATE(YEAR(calc!$E$9),MONTH(calc!$E$9),1),0))</f>
        <v>0</v>
      </c>
      <c r="F96" s="82" t="str">
        <f>IFERROR(E96/($E$80+$E$84+$E$88+$E$92+$E$96+$E$100+$E$104)," ")</f>
        <v xml:space="preserve"> </v>
      </c>
      <c r="G96" s="22">
        <f>COUNTIFS('Falls Data Entry'!$H$6:$H$423,"&lt;&gt;"&amp;" ",'Falls Data Entry'!$J$6:$J$423,"="&amp;"Thu",'Falls Data Entry'!$H$6:$H$423,"&gt;="&amp;DATE(YEAR(VALUE(calc!$E$10)),1,1),'Falls Data Entry'!$H$6:$H$423,"&lt;="&amp;DATE(YEAR(VALUE(calc!$E$10)),12,31))</f>
        <v>0</v>
      </c>
      <c r="H96" s="82" t="str">
        <f>IFERROR(G96/($E$80+$E$84+$E$88+$E$92+$E$96+$E$100+$E$104)," ")</f>
        <v xml:space="preserve"> </v>
      </c>
    </row>
    <row r="97" spans="3:8" ht="17.25" x14ac:dyDescent="0.3">
      <c r="C97" s="83"/>
      <c r="D97" s="84" t="str">
        <f>IF(ISNONTEXT($E$7),"",$E$7)</f>
        <v>Unit 1</v>
      </c>
      <c r="E97" s="22">
        <f>COUNTIFS('Falls Data Entry'!$H$6:$H$423,"&lt;&gt;"&amp;" ",'Falls Data Entry'!$J$6:$J$423,"="&amp;"Thu",'Falls Data Entry'!$H$6:$H$423,"&gt;="&amp;DATE(YEAR(calc!$E$9),MONTH(calc!$E$9),1),'Falls Data Entry'!$H$6:$H$423,"&lt;="&amp;EOMONTH(DATE(YEAR(calc!$E$9),MONTH(calc!$E$9),1),0),'Falls Data Entry'!$A$6:$A$423,D97)</f>
        <v>0</v>
      </c>
      <c r="F97" s="82" t="str">
        <f>IFERROR(E97/($E$81+$E$85+$E$89+$E$93+$E$97+$E$101+$E$105)," ")</f>
        <v xml:space="preserve"> </v>
      </c>
      <c r="G97" s="22">
        <f>COUNTIFS('Falls Data Entry'!$H$6:$H$423,"&lt;&gt;"&amp;" ",'Falls Data Entry'!$J$6:$J$423,"="&amp;"Thu",'Falls Data Entry'!$H$6:$H$423,"&gt;="&amp;DATE(YEAR(VALUE(calc!$E$10)),1,1),'Falls Data Entry'!$H$6:$H$423,"&lt;="&amp;DATE(YEAR(VALUE(calc!$E$10)),12,31),'Falls Data Entry'!$A$6:$A$423,D97)</f>
        <v>0</v>
      </c>
      <c r="H97" s="82" t="str">
        <f>IFERROR(G97/($E$81+$E$85+$E$89+$E$93+$E$97+$E$101+$E$105)," ")</f>
        <v xml:space="preserve"> </v>
      </c>
    </row>
    <row r="98" spans="3:8" ht="17.25" x14ac:dyDescent="0.3">
      <c r="C98" s="83"/>
      <c r="D98" s="84" t="str">
        <f>IF(ISNONTEXT($F$7),"",$F$7)</f>
        <v/>
      </c>
      <c r="E98" s="22">
        <f>COUNTIFS('Falls Data Entry'!$H$6:$H$423,"&lt;&gt;"&amp;" ",'Falls Data Entry'!$J$6:$J$423,"="&amp;"Thu",'Falls Data Entry'!$H$6:$H$423,"&gt;="&amp;DATE(YEAR(calc!$E$9),MONTH(calc!$E$9),1),'Falls Data Entry'!$H$6:$H$423,"&lt;="&amp;EOMONTH(DATE(YEAR(calc!$E$9),MONTH(calc!$E$9),1),0),'Falls Data Entry'!$A$6:$A$423,D98)</f>
        <v>0</v>
      </c>
      <c r="F98" s="82" t="str">
        <f>IFERROR(E98/($E$82+$E$86+$E$90+$E$94+$E$98+$E$102+$E$106)," ")</f>
        <v xml:space="preserve"> </v>
      </c>
      <c r="G98" s="22">
        <f>COUNTIFS('Falls Data Entry'!$H$6:$H$423,"&lt;&gt;"&amp;" ",'Falls Data Entry'!$J$6:$J$423,"="&amp;"Thu",'Falls Data Entry'!$H$6:$H$423,"&gt;="&amp;DATE(YEAR(VALUE(calc!$E$10)),1,1),'Falls Data Entry'!$H$6:$H$423,"&lt;="&amp;DATE(YEAR(VALUE(calc!$E$10)),12,31),'Falls Data Entry'!$A$6:$A$423,D98)</f>
        <v>0</v>
      </c>
      <c r="H98" s="82" t="str">
        <f>IFERROR(G98/($E$82+$E$86+$E$90+$E$94+$E$98+$E$102+$E$106)," ")</f>
        <v xml:space="preserve"> </v>
      </c>
    </row>
    <row r="99" spans="3:8" ht="17.25" x14ac:dyDescent="0.3">
      <c r="C99" s="83"/>
      <c r="D99" s="84" t="str">
        <f>IF(ISNONTEXT($G$7),"",$G$7)</f>
        <v/>
      </c>
      <c r="E99" s="22">
        <f>COUNTIFS('Falls Data Entry'!$H$6:$H$423,"&lt;&gt;"&amp;" ",'Falls Data Entry'!$J$6:$J$423,"="&amp;"Thu",'Falls Data Entry'!$H$6:$H$423,"&gt;="&amp;DATE(YEAR(calc!$E$9),MONTH(calc!$E$9),1),'Falls Data Entry'!$H$6:$H$423,"&lt;="&amp;EOMONTH(DATE(YEAR(calc!$E$9),MONTH(calc!$E$9),1),0),'Falls Data Entry'!$A$6:$A$423,D99)</f>
        <v>0</v>
      </c>
      <c r="F99" s="82" t="str">
        <f>IFERROR(E99/($E$83+$E$87+$E$91+$E$95+$E$99+$E$103+$E$107)," ")</f>
        <v xml:space="preserve"> </v>
      </c>
      <c r="G99" s="22">
        <f>COUNTIFS('Falls Data Entry'!$H$6:$H$423,"&lt;&gt;"&amp;" ",'Falls Data Entry'!$J$6:$J$423,"="&amp;"Thu",'Falls Data Entry'!$H$6:$H$423,"&gt;="&amp;DATE(YEAR(VALUE(calc!$E$10)),1,1),'Falls Data Entry'!$H$6:$H$423,"&lt;="&amp;DATE(YEAR(VALUE(calc!$E$10)),12,31),'Falls Data Entry'!$A$6:$A$423,D99)</f>
        <v>0</v>
      </c>
      <c r="H99" s="82" t="str">
        <f>IFERROR(G99/($E$83+$E$87+$E$91+$E$95+$E$99+$E$103+$E$107)," ")</f>
        <v xml:space="preserve"> </v>
      </c>
    </row>
    <row r="100" spans="3:8" ht="17.25" x14ac:dyDescent="0.3">
      <c r="C100" s="80" t="s">
        <v>43</v>
      </c>
      <c r="D100" s="81" t="s">
        <v>3</v>
      </c>
      <c r="E100" s="22">
        <f>COUNTIFS('Falls Data Entry'!$H$6:$H$423,"&lt;&gt;"&amp;" ",'Falls Data Entry'!$J$6:$J$423,"="&amp;"Fri",'Falls Data Entry'!$H$6:$H$423,"&gt;="&amp;DATE(YEAR(calc!$E$9),MONTH(calc!$E$9),1),'Falls Data Entry'!$H$6:$H$423,"&lt;="&amp;EOMONTH(DATE(YEAR(calc!$E$9),MONTH(calc!$E$9),1),0))</f>
        <v>0</v>
      </c>
      <c r="F100" s="82" t="str">
        <f>IFERROR(E100/($E$80+$E$84+$E$88+$E$92+$E$96+$E$100+$E$104)," ")</f>
        <v xml:space="preserve"> </v>
      </c>
      <c r="G100" s="22">
        <f>COUNTIFS('Falls Data Entry'!$H$6:$H$423,"&lt;&gt;"&amp;" ",'Falls Data Entry'!$J$6:$J$423,"="&amp;"Fri",'Falls Data Entry'!$H$6:$H$423,"&gt;="&amp;DATE(YEAR(VALUE(calc!$E$10)),1,1),'Falls Data Entry'!$H$6:$H$423,"&lt;="&amp;DATE(YEAR(VALUE(calc!$E$10)),12,31))</f>
        <v>0</v>
      </c>
      <c r="H100" s="82" t="str">
        <f>IFERROR(G100/($E$80+$E$84+$E$88+$E$92+$E$96+$E$100+$E$104)," ")</f>
        <v xml:space="preserve"> </v>
      </c>
    </row>
    <row r="101" spans="3:8" ht="17.25" x14ac:dyDescent="0.3">
      <c r="C101" s="83"/>
      <c r="D101" s="84" t="str">
        <f>IF(ISNONTEXT($E$7),"",$E$7)</f>
        <v>Unit 1</v>
      </c>
      <c r="E101" s="22">
        <f>COUNTIFS('Falls Data Entry'!$H$6:$H$423,"&lt;&gt;"&amp;" ",'Falls Data Entry'!$J$6:$J$423,"="&amp;"Fri",'Falls Data Entry'!$H$6:$H$423,"&gt;="&amp;DATE(YEAR(calc!$E$9),MONTH(calc!$E$9),1),'Falls Data Entry'!$H$6:$H$423,"&lt;="&amp;EOMONTH(DATE(YEAR(calc!$E$9),MONTH(calc!$E$9),1),0),'Falls Data Entry'!$A$6:$A$423,D101)</f>
        <v>0</v>
      </c>
      <c r="F101" s="82" t="str">
        <f>IFERROR(E101/($E$81+$E$85+$E$89+$E$93+$E$97+$E$101+$E$105)," ")</f>
        <v xml:space="preserve"> </v>
      </c>
      <c r="G101" s="22">
        <f>COUNTIFS('Falls Data Entry'!$H$6:$H$423,"&lt;&gt;"&amp;" ",'Falls Data Entry'!$J$6:$J$423,"="&amp;"Fri",'Falls Data Entry'!$H$6:$H$423,"&gt;="&amp;DATE(YEAR(VALUE(calc!$E$10)),1,1),'Falls Data Entry'!$H$6:$H$423,"&lt;="&amp;DATE(YEAR(VALUE(calc!$E$10)),12,31),'Falls Data Entry'!$A$6:$A$423,D101)</f>
        <v>0</v>
      </c>
      <c r="H101" s="82" t="str">
        <f>IFERROR(G101/($E$81+$E$85+$E$89+$E$93+$E$97+$E$101+$E$105)," ")</f>
        <v xml:space="preserve"> </v>
      </c>
    </row>
    <row r="102" spans="3:8" ht="17.25" x14ac:dyDescent="0.3">
      <c r="C102" s="83"/>
      <c r="D102" s="84" t="str">
        <f>IF(ISNONTEXT($F$7),"",$F$7)</f>
        <v/>
      </c>
      <c r="E102" s="22">
        <f>COUNTIFS('Falls Data Entry'!$H$6:$H$423,"&lt;&gt;"&amp;" ",'Falls Data Entry'!$J$6:$J$423,"="&amp;"Fri",'Falls Data Entry'!$H$6:$H$423,"&gt;="&amp;DATE(YEAR(calc!$E$9),MONTH(calc!$E$9),1),'Falls Data Entry'!$H$6:$H$423,"&lt;="&amp;EOMONTH(DATE(YEAR(calc!$E$9),MONTH(calc!$E$9),1),0),'Falls Data Entry'!$A$6:$A$423,D102)</f>
        <v>0</v>
      </c>
      <c r="F102" s="82" t="str">
        <f>IFERROR(E102/($E$82+$E$86+$E$90+$E$94+$E$98+$E$102+$E$106)," ")</f>
        <v xml:space="preserve"> </v>
      </c>
      <c r="G102" s="22">
        <f>COUNTIFS('Falls Data Entry'!$H$6:$H$423,"&lt;&gt;"&amp;" ",'Falls Data Entry'!$J$6:$J$423,"="&amp;"Fri",'Falls Data Entry'!$H$6:$H$423,"&gt;="&amp;DATE(YEAR(VALUE(calc!$E$10)),1,1),'Falls Data Entry'!$H$6:$H$423,"&lt;="&amp;DATE(YEAR(VALUE(calc!$E$10)),12,31),'Falls Data Entry'!$A$6:$A$423,D102)</f>
        <v>0</v>
      </c>
      <c r="H102" s="82" t="str">
        <f>IFERROR(G102/($E$82+$E$86+$E$90+$E$94+$E$98+$E$102+$E$106)," ")</f>
        <v xml:space="preserve"> </v>
      </c>
    </row>
    <row r="103" spans="3:8" ht="17.25" x14ac:dyDescent="0.3">
      <c r="C103" s="83"/>
      <c r="D103" s="84" t="str">
        <f>IF(ISNONTEXT($G$7),"",$G$7)</f>
        <v/>
      </c>
      <c r="E103" s="22">
        <f>COUNTIFS('Falls Data Entry'!$H$6:$H$423,"&lt;&gt;"&amp;" ",'Falls Data Entry'!$J$6:$J$423,"="&amp;"Fri",'Falls Data Entry'!$H$6:$H$423,"&gt;="&amp;DATE(YEAR(calc!$E$9),MONTH(calc!$E$9),1),'Falls Data Entry'!$H$6:$H$423,"&lt;="&amp;EOMONTH(DATE(YEAR(calc!$E$9),MONTH(calc!$E$9),1),0),'Falls Data Entry'!$A$6:$A$423,D103)</f>
        <v>0</v>
      </c>
      <c r="F103" s="82" t="str">
        <f>IFERROR(E103/($E$83+$E$87+$E$91+$E$95+$E$99+$E$103+$E$107)," ")</f>
        <v xml:space="preserve"> </v>
      </c>
      <c r="G103" s="22">
        <f>COUNTIFS('Falls Data Entry'!$H$6:$H$423,"&lt;&gt;"&amp;" ",'Falls Data Entry'!$J$6:$J$423,"="&amp;"Fri",'Falls Data Entry'!$H$6:$H$423,"&gt;="&amp;DATE(YEAR(VALUE(calc!$E$10)),1,1),'Falls Data Entry'!$H$6:$H$423,"&lt;="&amp;DATE(YEAR(VALUE(calc!$E$10)),12,31),'Falls Data Entry'!$A$6:$A$423,D103)</f>
        <v>0</v>
      </c>
      <c r="H103" s="82" t="str">
        <f>IFERROR(G103/($E$83+$E$87+$E$91+$E$95+$E$99+$E$103+$E$107)," ")</f>
        <v xml:space="preserve"> </v>
      </c>
    </row>
    <row r="104" spans="3:8" ht="17.25" x14ac:dyDescent="0.3">
      <c r="C104" s="80" t="s">
        <v>44</v>
      </c>
      <c r="D104" s="81" t="s">
        <v>3</v>
      </c>
      <c r="E104" s="22">
        <f>COUNTIFS('Falls Data Entry'!$H$6:$H$423,"&lt;&gt;"&amp;" ",'Falls Data Entry'!$J$6:$J$423,"="&amp;"Sat",'Falls Data Entry'!$H$6:$H$423,"&gt;="&amp;DATE(YEAR(calc!$E$9),MONTH(calc!$E$9),1),'Falls Data Entry'!$H$6:$H$423,"&lt;="&amp;EOMONTH(DATE(YEAR(calc!$E$9),MONTH(calc!$E$9),1),0))</f>
        <v>0</v>
      </c>
      <c r="F104" s="82" t="str">
        <f>IFERROR(E104/($E$80+$E$84+$E$88+$E$92+$E$96+$E$100+$E$104)," ")</f>
        <v xml:space="preserve"> </v>
      </c>
      <c r="G104" s="22">
        <f>COUNTIFS('Falls Data Entry'!$H$6:$H$423,"&lt;&gt;"&amp;" ",'Falls Data Entry'!$J$6:$J$423,"="&amp;"Sat",'Falls Data Entry'!$H$6:$H$423,"&gt;="&amp;DATE(YEAR(VALUE(calc!$E$10)),1,1),'Falls Data Entry'!$H$6:$H$423,"&lt;="&amp;DATE(YEAR(VALUE(calc!$E$10)),12,31))</f>
        <v>0</v>
      </c>
      <c r="H104" s="82" t="str">
        <f>IFERROR(G104/($E$80+$E$84+$E$88+$E$92+$E$96+$E$100+$E$104)," ")</f>
        <v xml:space="preserve"> </v>
      </c>
    </row>
    <row r="105" spans="3:8" ht="17.25" x14ac:dyDescent="0.3">
      <c r="C105" s="83"/>
      <c r="D105" s="84" t="str">
        <f>IF(ISNONTEXT($E$7),"",$E$7)</f>
        <v>Unit 1</v>
      </c>
      <c r="E105" s="22">
        <f>COUNTIFS('Falls Data Entry'!$H$6:$H$423,"&lt;&gt;"&amp;" ",'Falls Data Entry'!$J$6:$J$423,"="&amp;"Sat",'Falls Data Entry'!$H$6:$H$423,"&gt;="&amp;DATE(YEAR(calc!$E$9),MONTH(calc!$E$9),1),'Falls Data Entry'!$H$6:$H$423,"&lt;="&amp;EOMONTH(DATE(YEAR(calc!$E$9),MONTH(calc!$E$9),1),0),'Falls Data Entry'!$A$6:$A$423,D105)</f>
        <v>0</v>
      </c>
      <c r="F105" s="82" t="str">
        <f>IFERROR(E105/($E$81+$E$85+$E$89+$E$93+$E$97+$E$101+$E$105)," ")</f>
        <v xml:space="preserve"> </v>
      </c>
      <c r="G105" s="22">
        <f>COUNTIFS('Falls Data Entry'!$H$6:$H$423,"&lt;&gt;"&amp;" ",'Falls Data Entry'!$J$6:$J$423,"="&amp;"Sat",'Falls Data Entry'!$H$6:$H$423,"&gt;="&amp;DATE(YEAR(VALUE(calc!$E$10)),1,1),'Falls Data Entry'!$H$6:$H$423,"&lt;="&amp;DATE(YEAR(VALUE(calc!$E$10)),12,31),'Falls Data Entry'!$A$6:$A$423,D105)</f>
        <v>0</v>
      </c>
      <c r="H105" s="82" t="str">
        <f>IFERROR(G105/($E$81+$E$85+$E$89+$E$93+$E$97+$E$101+$E$105)," ")</f>
        <v xml:space="preserve"> </v>
      </c>
    </row>
    <row r="106" spans="3:8" ht="17.25" x14ac:dyDescent="0.3">
      <c r="C106" s="83"/>
      <c r="D106" s="84" t="str">
        <f>IF(ISNONTEXT($F$7),"",$F$7)</f>
        <v/>
      </c>
      <c r="E106" s="22">
        <f>COUNTIFS('Falls Data Entry'!$H$6:$H$423,"&lt;&gt;"&amp;" ",'Falls Data Entry'!$J$6:$J$423,"="&amp;"Sat",'Falls Data Entry'!$H$6:$H$423,"&gt;="&amp;DATE(YEAR(calc!$E$9),MONTH(calc!$E$9),1),'Falls Data Entry'!$H$6:$H$423,"&lt;="&amp;EOMONTH(DATE(YEAR(calc!$E$9),MONTH(calc!$E$9),1),0),'Falls Data Entry'!$A$6:$A$423,D106)</f>
        <v>0</v>
      </c>
      <c r="F106" s="82" t="str">
        <f>IFERROR(E106/($E$82+$E$86+$E$90+$E$94+$E$98+$E$102+$E$106)," ")</f>
        <v xml:space="preserve"> </v>
      </c>
      <c r="G106" s="22">
        <f>COUNTIFS('Falls Data Entry'!$H$6:$H$423,"&lt;&gt;"&amp;" ",'Falls Data Entry'!$J$6:$J$423,"="&amp;"Sat",'Falls Data Entry'!$H$6:$H$423,"&gt;="&amp;DATE(YEAR(VALUE(calc!$E$10)),1,1),'Falls Data Entry'!$H$6:$H$423,"&lt;="&amp;DATE(YEAR(VALUE(calc!$E$10)),12,31),'Falls Data Entry'!$A$6:$A$423,D106)</f>
        <v>0</v>
      </c>
      <c r="H106" s="82" t="str">
        <f>IFERROR(G106/($E$82+$E$86+$E$90+$E$94+$E$98+$E$102+$E$106)," ")</f>
        <v xml:space="preserve"> </v>
      </c>
    </row>
    <row r="107" spans="3:8" ht="17.25" x14ac:dyDescent="0.3">
      <c r="C107" s="98"/>
      <c r="D107" s="84" t="str">
        <f>IF(ISNONTEXT($G$7),"",$G$7)</f>
        <v/>
      </c>
      <c r="E107" s="22">
        <f>COUNTIFS('Falls Data Entry'!$H$6:$H$423,"&lt;&gt;"&amp;" ",'Falls Data Entry'!$J$6:$J$423,"="&amp;"Sat",'Falls Data Entry'!$H$6:$H$423,"&gt;="&amp;DATE(YEAR(calc!$E$9),MONTH(calc!$E$9),1),'Falls Data Entry'!$H$6:$H$423,"&lt;="&amp;EOMONTH(DATE(YEAR(calc!$E$9),MONTH(calc!$E$9),1),0),'Falls Data Entry'!$A$6:$A$423,D107)</f>
        <v>0</v>
      </c>
      <c r="F107" s="82" t="str">
        <f>IFERROR(E107/($E$83+$E$87+$E$91+$E$95+$E$99+$E$103+$E$107)," ")</f>
        <v xml:space="preserve"> </v>
      </c>
      <c r="G107" s="22">
        <f>COUNTIFS('Falls Data Entry'!$H$6:$H$423,"&lt;&gt;"&amp;" ",'Falls Data Entry'!$J$6:$J$423,"="&amp;"Sat",'Falls Data Entry'!$H$6:$H$423,"&gt;="&amp;DATE(YEAR(VALUE(calc!$E$10)),1,1),'Falls Data Entry'!$H$6:$H$423,"&lt;="&amp;DATE(YEAR(VALUE(calc!$E$10)),12,31),'Falls Data Entry'!$A$6:$A$423,D107)</f>
        <v>0</v>
      </c>
      <c r="H107" s="82" t="str">
        <f>IFERROR(G107/($E$83+$E$87+$E$91+$E$95+$E$99+$E$103+$E$107)," ")</f>
        <v xml:space="preserve"> </v>
      </c>
    </row>
    <row r="108" spans="3:8" ht="17.25" x14ac:dyDescent="0.3">
      <c r="C108" s="28"/>
      <c r="D108" s="28"/>
      <c r="E108" s="7"/>
      <c r="F108" s="69"/>
      <c r="G108" s="7"/>
      <c r="H108" s="69"/>
    </row>
    <row r="109" spans="3:8" ht="17.25" x14ac:dyDescent="0.3">
      <c r="C109" s="7"/>
      <c r="D109" s="28"/>
      <c r="E109" s="7"/>
      <c r="F109" s="69"/>
      <c r="G109" s="7"/>
      <c r="H109" s="69"/>
    </row>
    <row r="110" spans="3:8" ht="20.25" x14ac:dyDescent="0.35">
      <c r="C110" s="76" t="s">
        <v>45</v>
      </c>
      <c r="D110" s="44"/>
      <c r="E110" s="168">
        <f>$E$9</f>
        <v>46174</v>
      </c>
      <c r="F110" s="168"/>
      <c r="G110" s="169" t="s">
        <v>11</v>
      </c>
      <c r="H110" s="169"/>
    </row>
    <row r="111" spans="3:8" ht="17.25" x14ac:dyDescent="0.3">
      <c r="C111" s="87"/>
      <c r="D111" s="7"/>
      <c r="E111" s="88" t="s">
        <v>46</v>
      </c>
      <c r="F111" s="89" t="s">
        <v>47</v>
      </c>
      <c r="G111" s="88" t="s">
        <v>46</v>
      </c>
      <c r="H111" s="89" t="s">
        <v>47</v>
      </c>
    </row>
    <row r="112" spans="3:8" ht="17.25" x14ac:dyDescent="0.3">
      <c r="C112" s="80" t="s">
        <v>48</v>
      </c>
      <c r="D112" s="81" t="s">
        <v>3</v>
      </c>
      <c r="E112" s="22">
        <f>COUNTIFS('Falls Data Entry'!$H$6:$H$423,"&lt;&gt;"&amp;" ",'Falls Data Entry'!$K$6:$K$423,"="&amp;"Day",'Falls Data Entry'!$H$6:$H$423,"&gt;="&amp;DATE(YEAR(calc!$E$9),MONTH(calc!$E$9),1),'Falls Data Entry'!$H$6:$H$423,"&lt;="&amp;EOMONTH(DATE(YEAR(calc!$E$9),MONTH(calc!$E$9),1),0))</f>
        <v>0</v>
      </c>
      <c r="F112" s="82" t="str">
        <f>IFERROR(E112/($E$112+$E$116+$E$120)," ")</f>
        <v xml:space="preserve"> </v>
      </c>
      <c r="G112" s="22">
        <f>COUNTIFS('Falls Data Entry'!$H$6:$H$423,"&lt;&gt;"&amp;" ",'Falls Data Entry'!$K$6:$K$423,"="&amp;"Day",'Falls Data Entry'!$H$6:$H$423,"&gt;="&amp;DATE(YEAR(VALUE(calc!$E$10)),1,1),'Falls Data Entry'!$H$6:$H$423,"&lt;="&amp;DATE(YEAR(VALUE(calc!$E$10)),12,31))</f>
        <v>0</v>
      </c>
      <c r="H112" s="82" t="str">
        <f>IFERROR(G112/($E$112+$E$116+$E$120)," ")</f>
        <v xml:space="preserve"> </v>
      </c>
    </row>
    <row r="113" spans="3:8" ht="17.25" x14ac:dyDescent="0.3">
      <c r="C113" s="83"/>
      <c r="D113" s="84" t="str">
        <f>IF(ISNONTEXT($E$7),"",$E$7)</f>
        <v>Unit 1</v>
      </c>
      <c r="E113" s="22">
        <f>COUNTIFS('Falls Data Entry'!$H$6:$H$423,"&lt;&gt;"&amp;" ",'Falls Data Entry'!$K$6:$K$423,"="&amp;"Day",'Falls Data Entry'!$H$6:$H$423,"&gt;="&amp;DATE(YEAR(calc!$E$9),MONTH(calc!$E$9),1),'Falls Data Entry'!$H$6:$H$423,"&lt;="&amp;EOMONTH(DATE(YEAR(calc!$E$9),MONTH(calc!$E$9),1),0),'Falls Data Entry'!$A$6:$A$423,D113)</f>
        <v>0</v>
      </c>
      <c r="F113" s="82" t="str">
        <f>IFERROR(E113/($E$113+$E$117+$E$121)," ")</f>
        <v xml:space="preserve"> </v>
      </c>
      <c r="G113" s="22">
        <f>COUNTIFS('Falls Data Entry'!$H$6:$H$423,"&lt;&gt;"&amp;" ",'Falls Data Entry'!$K$6:$K$423,"="&amp;"Day",'Falls Data Entry'!$H$6:$H$423,"&gt;="&amp;DATE(YEAR(VALUE(calc!$E$10)),1,1),'Falls Data Entry'!$H$6:$H$423,"&lt;="&amp;DATE(YEAR(VALUE(calc!$E$10)),12,31),'Falls Data Entry'!$A$6:$A$423,D113)</f>
        <v>0</v>
      </c>
      <c r="H113" s="82" t="str">
        <f t="shared" ref="H113:H115" si="1">IFERROR(G113/($E$112+$E$116+$E$120)," ")</f>
        <v xml:space="preserve"> </v>
      </c>
    </row>
    <row r="114" spans="3:8" ht="17.25" x14ac:dyDescent="0.3">
      <c r="C114" s="83"/>
      <c r="D114" s="84" t="str">
        <f>IF(ISNONTEXT($F$7),"",$F$7)</f>
        <v/>
      </c>
      <c r="E114" s="22">
        <f>COUNTIFS('Falls Data Entry'!$H$6:$H$423,"&lt;&gt;"&amp;" ",'Falls Data Entry'!$K$6:$K$423,"="&amp;"Day",'Falls Data Entry'!$H$6:$H$423,"&gt;="&amp;DATE(YEAR(calc!$E$9),MONTH(calc!$E$9),1),'Falls Data Entry'!$H$6:$H$423,"&lt;="&amp;EOMONTH(DATE(YEAR(calc!$E$9),MONTH(calc!$E$9),1),0),'Falls Data Entry'!$A$6:$A$423,D114)</f>
        <v>0</v>
      </c>
      <c r="F114" s="82" t="str">
        <f>IFERROR(E114/($E$114+$E$118+$E$122)," ")</f>
        <v xml:space="preserve"> </v>
      </c>
      <c r="G114" s="22">
        <f>COUNTIFS('Falls Data Entry'!$H$6:$H$423,"&lt;&gt;"&amp;" ",'Falls Data Entry'!$K$6:$K$423,"="&amp;"Day",'Falls Data Entry'!$H$6:$H$423,"&gt;="&amp;DATE(YEAR(VALUE(calc!$E$10)),1,1),'Falls Data Entry'!$H$6:$H$423,"&lt;="&amp;DATE(YEAR(VALUE(calc!$E$10)),12,31),'Falls Data Entry'!$A$6:$A$423,D114)</f>
        <v>0</v>
      </c>
      <c r="H114" s="82" t="str">
        <f t="shared" si="1"/>
        <v xml:space="preserve"> </v>
      </c>
    </row>
    <row r="115" spans="3:8" ht="17.25" x14ac:dyDescent="0.3">
      <c r="C115" s="83"/>
      <c r="D115" s="84" t="str">
        <f>IF(ISNONTEXT($G$7),"",$G$7)</f>
        <v/>
      </c>
      <c r="E115" s="22">
        <f>COUNTIFS('Falls Data Entry'!$H$6:$H$423,"&lt;&gt;"&amp;" ",'Falls Data Entry'!$K$6:$K$423,"="&amp;"Day",'Falls Data Entry'!$H$6:$H$423,"&gt;="&amp;DATE(YEAR(calc!$E$9),MONTH(calc!$E$9),1),'Falls Data Entry'!$H$6:$H$423,"&lt;="&amp;EOMONTH(DATE(YEAR(calc!$E$9),MONTH(calc!$E$9),1),0),'Falls Data Entry'!$A$6:$A$423,D115)</f>
        <v>0</v>
      </c>
      <c r="F115" s="82" t="str">
        <f>IFERROR(E115/($E$115+$E$119+$E$123)," ")</f>
        <v xml:space="preserve"> </v>
      </c>
      <c r="G115" s="22">
        <f>COUNTIFS('Falls Data Entry'!$H$6:$H$423,"&lt;&gt;"&amp;" ",'Falls Data Entry'!$K$6:$K$423,"="&amp;"Day",'Falls Data Entry'!$H$6:$H$423,"&gt;="&amp;DATE(YEAR(VALUE(calc!$E$10)),1,1),'Falls Data Entry'!$H$6:$H$423,"&lt;="&amp;DATE(YEAR(VALUE(calc!$E$10)),12,31),'Falls Data Entry'!$A$6:$A$423,D115)</f>
        <v>0</v>
      </c>
      <c r="H115" s="82" t="str">
        <f t="shared" si="1"/>
        <v xml:space="preserve"> </v>
      </c>
    </row>
    <row r="116" spans="3:8" ht="17.25" x14ac:dyDescent="0.3">
      <c r="C116" s="80" t="s">
        <v>49</v>
      </c>
      <c r="D116" s="81" t="s">
        <v>3</v>
      </c>
      <c r="E116" s="22">
        <f>COUNTIFS('Falls Data Entry'!$H$6:$H$423,"&lt;&gt;"&amp;" ",'Falls Data Entry'!$K$6:$K$423,"="&amp;"Evening",'Falls Data Entry'!$H$6:$H$423,"&gt;="&amp;DATE(YEAR(calc!$E$9),MONTH(calc!$E$9),1),'Falls Data Entry'!$H$6:$H$423,"&lt;="&amp;EOMONTH(DATE(YEAR(calc!$E$9),MONTH(calc!$E$9),1),0))</f>
        <v>0</v>
      </c>
      <c r="F116" s="82" t="str">
        <f>IFERROR(E116/($E$112+$E$116+$E$120)," ")</f>
        <v xml:space="preserve"> </v>
      </c>
      <c r="G116" s="22">
        <f>COUNTIFS('Falls Data Entry'!$H$6:$H$423,"&lt;&gt;"&amp;" ",'Falls Data Entry'!$K$6:$K$423,"="&amp;"Evening",'Falls Data Entry'!$H$6:$H$423,"&gt;="&amp;DATE(YEAR(VALUE(calc!$E$10)),1,1),'Falls Data Entry'!$H$6:$H$423,"&lt;="&amp;DATE(YEAR(VALUE(calc!$E$10)),12,31))</f>
        <v>0</v>
      </c>
      <c r="H116" s="82" t="str">
        <f>IFERROR(G116/($E$112+$E$116+$E$120)," ")</f>
        <v xml:space="preserve"> </v>
      </c>
    </row>
    <row r="117" spans="3:8" ht="17.25" x14ac:dyDescent="0.3">
      <c r="C117" s="83"/>
      <c r="D117" s="84" t="str">
        <f>IF(ISNONTEXT($E$7),"",$E$7)</f>
        <v>Unit 1</v>
      </c>
      <c r="E117" s="22">
        <f>COUNTIFS('Falls Data Entry'!$H$6:$H$423,"&lt;&gt;"&amp;" ",'Falls Data Entry'!$K$6:$K$423,"="&amp;"Evening",'Falls Data Entry'!$H$6:$H$423,"&gt;="&amp;DATE(YEAR(calc!$E$9),MONTH(calc!$E$9),1),'Falls Data Entry'!$H$6:$H$423,"&lt;="&amp;EOMONTH(DATE(YEAR(calc!$E$9),MONTH(calc!$E$9),1),0),'Falls Data Entry'!$A$6:$A$423,D117)</f>
        <v>0</v>
      </c>
      <c r="F117" s="82" t="str">
        <f>IFERROR(E117/($E$113+$E$117+$E$121)," ")</f>
        <v xml:space="preserve"> </v>
      </c>
      <c r="G117" s="22">
        <f>COUNTIFS('Falls Data Entry'!$H$6:$H$423,"&lt;&gt;"&amp;" ",'Falls Data Entry'!$K$6:$K$423,"="&amp;"Evening",'Falls Data Entry'!$H$6:$H$423,"&gt;="&amp;DATE(YEAR(VALUE(calc!$E$10)),1,1),'Falls Data Entry'!$H$6:$H$423,"&lt;="&amp;DATE(YEAR(VALUE(calc!$E$10)),12,31),'Falls Data Entry'!$A$6:$A$423,D117)</f>
        <v>0</v>
      </c>
      <c r="H117" s="82" t="str">
        <f>IFERROR(G117/($E$113+$E$117+$E$121)," ")</f>
        <v xml:space="preserve"> </v>
      </c>
    </row>
    <row r="118" spans="3:8" ht="17.25" x14ac:dyDescent="0.3">
      <c r="C118" s="83"/>
      <c r="D118" s="84" t="str">
        <f>IF(ISNONTEXT($F$7),"",$F$7)</f>
        <v/>
      </c>
      <c r="E118" s="22">
        <f>COUNTIFS('Falls Data Entry'!$H$6:$H$423,"&lt;&gt;"&amp;" ",'Falls Data Entry'!$K$6:$K$423,"="&amp;"Evening",'Falls Data Entry'!$H$6:$H$423,"&gt;="&amp;DATE(YEAR(calc!$E$9),MONTH(calc!$E$9),1),'Falls Data Entry'!$H$6:$H$423,"&lt;="&amp;EOMONTH(DATE(YEAR(calc!$E$9),MONTH(calc!$E$9),1),0),'Falls Data Entry'!$A$6:$A$423,D118)</f>
        <v>0</v>
      </c>
      <c r="F118" s="82" t="str">
        <f>IFERROR(E118/($E$114+$E$118+$E$122)," ")</f>
        <v xml:space="preserve"> </v>
      </c>
      <c r="G118" s="22">
        <f>COUNTIFS('Falls Data Entry'!$H$6:$H$423,"&lt;&gt;"&amp;" ",'Falls Data Entry'!$K$6:$K$423,"="&amp;"Evening",'Falls Data Entry'!$H$6:$H$423,"&gt;="&amp;DATE(YEAR(VALUE(calc!$E$10)),1,1),'Falls Data Entry'!$H$6:$H$423,"&lt;="&amp;DATE(YEAR(VALUE(calc!$E$10)),12,31),'Falls Data Entry'!$A$6:$A$423,D118)</f>
        <v>0</v>
      </c>
      <c r="H118" s="82" t="str">
        <f>IFERROR(G118/($E$114+$E$118+$E$122)," ")</f>
        <v xml:space="preserve"> </v>
      </c>
    </row>
    <row r="119" spans="3:8" ht="17.25" x14ac:dyDescent="0.3">
      <c r="C119" s="83"/>
      <c r="D119" s="84" t="str">
        <f>IF(ISNONTEXT($G$7),"",$G$7)</f>
        <v/>
      </c>
      <c r="E119" s="22">
        <f>COUNTIFS('Falls Data Entry'!$H$6:$H$423,"&lt;&gt;"&amp;" ",'Falls Data Entry'!$K$6:$K$423,"="&amp;"Evening",'Falls Data Entry'!$H$6:$H$423,"&gt;="&amp;DATE(YEAR(calc!$E$9),MONTH(calc!$E$9),1),'Falls Data Entry'!$H$6:$H$423,"&lt;="&amp;EOMONTH(DATE(YEAR(calc!$E$9),MONTH(calc!$E$9),1),0),'Falls Data Entry'!$A$6:$A$423,D119)</f>
        <v>0</v>
      </c>
      <c r="F119" s="82" t="str">
        <f>IFERROR(E119/($E$115+$E$119+$E$123)," ")</f>
        <v xml:space="preserve"> </v>
      </c>
      <c r="G119" s="22">
        <f>COUNTIFS('Falls Data Entry'!$H$6:$H$423,"&lt;&gt;"&amp;" ",'Falls Data Entry'!$K$6:$K$423,"="&amp;"Evening",'Falls Data Entry'!$H$6:$H$423,"&gt;="&amp;DATE(YEAR(VALUE(calc!$E$10)),1,1),'Falls Data Entry'!$H$6:$H$423,"&lt;="&amp;DATE(YEAR(VALUE(calc!$E$10)),12,31),'Falls Data Entry'!$A$6:$A$423,D119)</f>
        <v>0</v>
      </c>
      <c r="H119" s="82" t="str">
        <f>IFERROR(G119/($E$115+$E$119+$E$123)," ")</f>
        <v xml:space="preserve"> </v>
      </c>
    </row>
    <row r="120" spans="3:8" ht="17.25" x14ac:dyDescent="0.3">
      <c r="C120" s="80" t="s">
        <v>50</v>
      </c>
      <c r="D120" s="81" t="s">
        <v>3</v>
      </c>
      <c r="E120" s="22">
        <f>COUNTIFS('Falls Data Entry'!$H$6:$H$423,"&lt;&gt;"&amp;" ",'Falls Data Entry'!$K$6:$K$423,"="&amp;"Night",'Falls Data Entry'!$H$6:$H$423,"&gt;="&amp;DATE(YEAR(calc!$E$9),MONTH(calc!$E$9),1),'Falls Data Entry'!$H$6:$H$423,"&lt;="&amp;EOMONTH(DATE(YEAR(calc!$E$9),MONTH(calc!$E$9),1),0))</f>
        <v>0</v>
      </c>
      <c r="F120" s="82" t="str">
        <f>IFERROR(E120/($E$112+$E$116+$E$120)," ")</f>
        <v xml:space="preserve"> </v>
      </c>
      <c r="G120" s="22">
        <f>COUNTIFS('Falls Data Entry'!$H$6:$H$423,"&lt;&gt;"&amp;" ",'Falls Data Entry'!$K$6:$K$423,"="&amp;"Night",'Falls Data Entry'!$H$6:$H$423,"&gt;="&amp;DATE(YEAR(VALUE(calc!$E$10)),1,1),'Falls Data Entry'!$H$6:$H$423,"&lt;="&amp;DATE(YEAR(VALUE(calc!$E$10)),12,31))</f>
        <v>0</v>
      </c>
      <c r="H120" s="82" t="str">
        <f>IFERROR(G120/($E$112+$E$116+$E$120)," ")</f>
        <v xml:space="preserve"> </v>
      </c>
    </row>
    <row r="121" spans="3:8" ht="17.25" x14ac:dyDescent="0.3">
      <c r="C121" s="83"/>
      <c r="D121" s="84" t="str">
        <f>IF(ISNONTEXT($E$7),"",$E$7)</f>
        <v>Unit 1</v>
      </c>
      <c r="E121" s="22">
        <f>COUNTIFS('Falls Data Entry'!$H$6:$H$423,"&lt;&gt;"&amp;" ",'Falls Data Entry'!$K$6:$K$423,"="&amp;"Night",'Falls Data Entry'!$H$6:$H$423,"&gt;="&amp;DATE(YEAR(calc!$E$9),MONTH(calc!$E$9),1),'Falls Data Entry'!$H$6:$H$423,"&lt;="&amp;EOMONTH(DATE(YEAR(calc!$E$9),MONTH(calc!$E$9),1),0),'Falls Data Entry'!$A$6:$A$423,D121)</f>
        <v>0</v>
      </c>
      <c r="F121" s="82" t="str">
        <f>IFERROR(E121/($E$113+$E$117+$E$121)," ")</f>
        <v xml:space="preserve"> </v>
      </c>
      <c r="G121" s="22">
        <f>COUNTIFS('Falls Data Entry'!$H$6:$H$423,"&lt;&gt;"&amp;" ",'Falls Data Entry'!$K$6:$K$423,"="&amp;"Night",'Falls Data Entry'!$H$6:$H$423,"&gt;="&amp;DATE(YEAR(VALUE(calc!$E$10)),1,1),'Falls Data Entry'!$H$6:$H$423,"&lt;="&amp;DATE(YEAR(VALUE(calc!$E$10)),12,31),'Falls Data Entry'!$A$6:$A$423,D121)</f>
        <v>0</v>
      </c>
      <c r="H121" s="82" t="str">
        <f>IFERROR(G121/($E$113+$E$117+$E$121)," ")</f>
        <v xml:space="preserve"> </v>
      </c>
    </row>
    <row r="122" spans="3:8" ht="17.25" x14ac:dyDescent="0.3">
      <c r="C122" s="83"/>
      <c r="D122" s="84" t="str">
        <f>IF(ISNONTEXT($F$7),"",$F$7)</f>
        <v/>
      </c>
      <c r="E122" s="22">
        <f>COUNTIFS('Falls Data Entry'!$H$6:$H$423,"&lt;&gt;"&amp;" ",'Falls Data Entry'!$K$6:$K$423,"="&amp;"Night",'Falls Data Entry'!$H$6:$H$423,"&gt;="&amp;DATE(YEAR(calc!$E$9),MONTH(calc!$E$9),1),'Falls Data Entry'!$H$6:$H$423,"&lt;="&amp;EOMONTH(DATE(YEAR(calc!$E$9),MONTH(calc!$E$9),1),0),'Falls Data Entry'!$A$6:$A$423,D122)</f>
        <v>0</v>
      </c>
      <c r="F122" s="82" t="str">
        <f>IFERROR(E122/($E$114+$E$118+$E$122)," ")</f>
        <v xml:space="preserve"> </v>
      </c>
      <c r="G122" s="22">
        <f>COUNTIFS('Falls Data Entry'!$H$6:$H$423,"&lt;&gt;"&amp;" ",'Falls Data Entry'!$K$6:$K$423,"="&amp;"Night",'Falls Data Entry'!$H$6:$H$423,"&gt;="&amp;DATE(YEAR(VALUE(calc!$E$10)),1,1),'Falls Data Entry'!$H$6:$H$423,"&lt;="&amp;DATE(YEAR(VALUE(calc!$E$10)),12,31),'Falls Data Entry'!$A$6:$A$423,D122)</f>
        <v>0</v>
      </c>
      <c r="H122" s="82" t="str">
        <f>IFERROR(G122/($E$114+$E$118+$E$122)," ")</f>
        <v xml:space="preserve"> </v>
      </c>
    </row>
    <row r="123" spans="3:8" ht="17.25" x14ac:dyDescent="0.3">
      <c r="C123" s="94"/>
      <c r="D123" s="84" t="str">
        <f>IF(ISNONTEXT($G$7),"",$G$7)</f>
        <v/>
      </c>
      <c r="E123" s="22">
        <f>COUNTIFS('Falls Data Entry'!$H$6:$H$423,"&lt;&gt;"&amp;" ",'Falls Data Entry'!$K$6:$K$423,"="&amp;"Night",'Falls Data Entry'!$H$6:$H$423,"&gt;="&amp;DATE(YEAR(calc!$E$9),MONTH(calc!$E$9),1),'Falls Data Entry'!$H$6:$H$423,"&lt;="&amp;EOMONTH(DATE(YEAR(calc!$E$9),MONTH(calc!$E$9),1),0),'Falls Data Entry'!$A$6:$A$423,D123)</f>
        <v>0</v>
      </c>
      <c r="F123" s="82" t="str">
        <f>IFERROR(E123/($E$115+$E$119+$E$123)," ")</f>
        <v xml:space="preserve"> </v>
      </c>
      <c r="G123" s="22">
        <f>COUNTIFS('Falls Data Entry'!$H$6:$H$423,"&lt;&gt;"&amp;" ",'Falls Data Entry'!$K$6:$K$423,"="&amp;"Night",'Falls Data Entry'!$H$6:$H$423,"&gt;="&amp;DATE(YEAR(VALUE(calc!$E$10)),1,1),'Falls Data Entry'!$H$6:$H$423,"&lt;="&amp;DATE(YEAR(VALUE(calc!$E$10)),12,31),'Falls Data Entry'!$A$6:$A$423,D123)</f>
        <v>0</v>
      </c>
      <c r="H123" s="82" t="str">
        <f>IFERROR(G123/($E$115+$E$119+$E$123)," ")</f>
        <v xml:space="preserve"> </v>
      </c>
    </row>
    <row r="130" spans="3:8" ht="20.25" x14ac:dyDescent="0.35">
      <c r="C130" s="76" t="s">
        <v>51</v>
      </c>
      <c r="D130" s="44"/>
      <c r="E130" s="168">
        <f>$E$9</f>
        <v>46174</v>
      </c>
      <c r="F130" s="168"/>
      <c r="G130" s="169" t="s">
        <v>11</v>
      </c>
      <c r="H130" s="169"/>
    </row>
    <row r="131" spans="3:8" ht="17.25" x14ac:dyDescent="0.3">
      <c r="C131" s="87"/>
      <c r="D131" s="7"/>
      <c r="E131" s="88" t="s">
        <v>52</v>
      </c>
      <c r="F131" s="89" t="s">
        <v>53</v>
      </c>
      <c r="G131" s="88" t="s">
        <v>52</v>
      </c>
      <c r="H131" s="89" t="s">
        <v>53</v>
      </c>
    </row>
    <row r="132" spans="3:8" ht="17.25" x14ac:dyDescent="0.3">
      <c r="C132" s="80" t="s">
        <v>54</v>
      </c>
      <c r="D132" s="81" t="s">
        <v>3</v>
      </c>
      <c r="E132" s="22">
        <f>COUNTIFS('Falls Data Entry'!$H$6:$H$423,"&lt;&gt;"&amp;" ",'Falls Data Entry'!$M$6:$M$423,"="&amp;"7-9:59am",'Falls Data Entry'!$H$6:$H$423,"&gt;="&amp;DATE(YEAR(calc!$E$9),MONTH(calc!$E$9),1),'Falls Data Entry'!$H$6:$H$423,"&lt;="&amp;EOMONTH(DATE(YEAR(calc!$E$9),MONTH(calc!$E$9),1),0))</f>
        <v>0</v>
      </c>
      <c r="F132" s="82" t="str">
        <f>IFERROR(E132/($E$132+$E$136+$E$140+$E$144+$E$150+$E$154+$E$158+$E$164+$E$168+$E$172)," ")</f>
        <v xml:space="preserve"> </v>
      </c>
      <c r="G132" s="22">
        <f>COUNTIFS('Falls Data Entry'!$H$6:$H$423,"&lt;&gt;"&amp;" ",'Falls Data Entry'!$M$6:$M$423,"="&amp;"7-9:59am",'Falls Data Entry'!$H$6:$H$423,"&gt;="&amp;DATE(YEAR(VALUE(calc!$E$10)),1,1),'Falls Data Entry'!$H$6:$H$423,"&lt;="&amp;DATE(YEAR(VALUE(calc!$E$10)),12,31))</f>
        <v>0</v>
      </c>
      <c r="H132" s="82" t="str">
        <f>IFERROR(G132/($G$132+$G$136+$G$140+$G$144+$G$150+$G$154+$G$158+$G$164+$G$168+$G$172)," ")</f>
        <v xml:space="preserve"> </v>
      </c>
    </row>
    <row r="133" spans="3:8" ht="17.25" x14ac:dyDescent="0.3">
      <c r="C133" s="83"/>
      <c r="D133" s="84" t="str">
        <f>IF(ISNONTEXT($E$7),"",$E$7)</f>
        <v>Unit 1</v>
      </c>
      <c r="E133" s="22">
        <f>COUNTIFS('Falls Data Entry'!$H$6:$H$423,"&lt;&gt;"&amp;" ",'Falls Data Entry'!$M$6:$M$423,"="&amp;"7-9:59am",'Falls Data Entry'!$H$6:$H$423,"&gt;="&amp;DATE(YEAR(calc!$E$9),MONTH(calc!$E$9),1),'Falls Data Entry'!$H$6:$H$423,"&lt;="&amp;EOMONTH(DATE(YEAR(calc!$E$9),MONTH(calc!$E$9),1),0),'Falls Data Entry'!$A$6:$A$423,D133)</f>
        <v>0</v>
      </c>
      <c r="F133" s="82" t="str">
        <f>IFERROR(E133/($E$133+$E$137+$E$141+$E$145+$E$151+$E$155+$E$159+$E$165+$E$169+$E$173)," ")</f>
        <v xml:space="preserve"> </v>
      </c>
      <c r="G133" s="22">
        <f>COUNTIFS('Falls Data Entry'!$H$6:$H$423,"&lt;&gt;"&amp;" ",'Falls Data Entry'!$M$6:$M$423,"="&amp;"7-9:59am",'Falls Data Entry'!$H$6:$H$423,"&gt;="&amp;DATE(YEAR(VALUE(calc!$E$10)),1,1),'Falls Data Entry'!$H$6:$H$423,"&lt;="&amp;DATE(YEAR(VALUE(calc!$E$10)),12,31),'Falls Data Entry'!$A$6:$A$423,D133)</f>
        <v>0</v>
      </c>
      <c r="H133" s="82" t="str">
        <f>IFERROR(G133/($G$133+$G$137+$G$141+$G$145+$G$151+$G$155+$G$159+$G$165+$G$169+$G$173)," ")</f>
        <v xml:space="preserve"> </v>
      </c>
    </row>
    <row r="134" spans="3:8" ht="17.25" x14ac:dyDescent="0.3">
      <c r="C134" s="83"/>
      <c r="D134" s="84" t="str">
        <f>IF(ISNONTEXT($F$7),"",$F$7)</f>
        <v/>
      </c>
      <c r="E134" s="22">
        <f>COUNTIFS('Falls Data Entry'!$H$6:$H$423,"&lt;&gt;"&amp;" ",'Falls Data Entry'!$M$6:$M$423,"="&amp;"7-9:59am",'Falls Data Entry'!$H$6:$H$423,"&gt;="&amp;DATE(YEAR(calc!$E$9),MONTH(calc!$E$9),1),'Falls Data Entry'!$H$6:$H$423,"&lt;="&amp;EOMONTH(DATE(YEAR(calc!$E$9),MONTH(calc!$E$9),1),0),'Falls Data Entry'!$A$6:$A$423,D134)</f>
        <v>0</v>
      </c>
      <c r="F134" s="82" t="str">
        <f>IFERROR(E134/($E$134+$E$138+$E$142+$E$146+$E$152+$E$156+$E$160+$E$166+$E$170+$E$174)," ")</f>
        <v xml:space="preserve"> </v>
      </c>
      <c r="G134" s="22">
        <f>COUNTIFS('Falls Data Entry'!$H$6:$H$423,"&lt;&gt;"&amp;" ",'Falls Data Entry'!$M$6:$M$423,"="&amp;"7-9:59am",'Falls Data Entry'!$H$6:$H$423,"&gt;="&amp;DATE(YEAR(VALUE(calc!$E$10)),1,1),'Falls Data Entry'!$H$6:$H$423,"&lt;="&amp;DATE(YEAR(VALUE(calc!$E$10)),12,31),'Falls Data Entry'!$A$6:$A$423,D134)</f>
        <v>0</v>
      </c>
      <c r="H134" s="82" t="str">
        <f>IFERROR(G134/($G$134+$G$138+$G$142+$G$146+$G$152+$G$156+$G$160+$G$166+$G$170+$G$174)," ")</f>
        <v xml:space="preserve"> </v>
      </c>
    </row>
    <row r="135" spans="3:8" ht="17.25" x14ac:dyDescent="0.3">
      <c r="C135" s="83"/>
      <c r="D135" s="84" t="str">
        <f>IF(ISNONTEXT($G$7),"",$G$7)</f>
        <v/>
      </c>
      <c r="E135" s="22">
        <f>COUNTIFS('Falls Data Entry'!$H$6:$H$423,"&lt;&gt;"&amp;" ",'Falls Data Entry'!$M$6:$M$423,"="&amp;"7-9:59am",'Falls Data Entry'!$H$6:$H$423,"&gt;="&amp;DATE(YEAR(calc!$E$9),MONTH(calc!$E$9),1),'Falls Data Entry'!$H$6:$H$423,"&lt;="&amp;EOMONTH(DATE(YEAR(calc!$E$9),MONTH(calc!$E$9),1),0),'Falls Data Entry'!$A$6:$A$423,D135)</f>
        <v>0</v>
      </c>
      <c r="F135" s="82" t="str">
        <f t="shared" ref="F135" si="2">IFERROR(E135/(E135+E139+E143+E147+E153+E157+E161+E167+E171+E175)," ")</f>
        <v xml:space="preserve"> </v>
      </c>
      <c r="G135" s="22">
        <f>COUNTIFS('Falls Data Entry'!$H$6:$H$423,"&lt;&gt;"&amp;" ",'Falls Data Entry'!$M$6:$M$423,"="&amp;"7-9:59am",'Falls Data Entry'!$H$6:$H$423,"&gt;="&amp;DATE(YEAR(VALUE(calc!$E$10)),1,1),'Falls Data Entry'!$H$6:$H$423,"&lt;="&amp;DATE(YEAR(VALUE(calc!$E$10)),12,31),'Falls Data Entry'!$A$6:$A$423,D135)</f>
        <v>0</v>
      </c>
      <c r="H135" s="82" t="str">
        <f>IFERROR(G135/($G$135+$G$139+$G$143+$G$147+$G$153+$G$157+$G$161+$G$167+$G$171+$G$175)," ")</f>
        <v xml:space="preserve"> </v>
      </c>
    </row>
    <row r="136" spans="3:8" ht="17.25" x14ac:dyDescent="0.3">
      <c r="C136" s="80" t="s">
        <v>55</v>
      </c>
      <c r="D136" s="81" t="s">
        <v>3</v>
      </c>
      <c r="E136" s="22">
        <f>COUNTIFS('Falls Data Entry'!$H$6:$H$423,"&lt;&gt;"&amp;" ",'Falls Data Entry'!$M$6:$M$423,"="&amp;"10-11:59am",'Falls Data Entry'!$H$6:$H$423,"&gt;="&amp;DATE(YEAR(calc!$E$9),MONTH(calc!$E$9),1),'Falls Data Entry'!$H$6:$H$423,"&lt;="&amp;EOMONTH(DATE(YEAR(calc!$E$9),MONTH(calc!$E$9),1),0))</f>
        <v>0</v>
      </c>
      <c r="F136" s="82" t="str">
        <f>IFERROR(E136/($E$132+$E$136+$E$140+$E$144+$E$150+$E$154+$E$158+$E$164+$E$168+$E$172)," ")</f>
        <v xml:space="preserve"> </v>
      </c>
      <c r="G136" s="22">
        <f>COUNTIFS('Falls Data Entry'!$H$6:$H$423,"&lt;&gt;"&amp;" ",'Falls Data Entry'!$M$6:$M$423,"="&amp;"10-11:59am",'Falls Data Entry'!$H$6:$H$423,"&gt;="&amp;DATE(YEAR(VALUE(calc!$E$10)),1,1),'Falls Data Entry'!$H$6:$H$423,"&lt;="&amp;DATE(YEAR(VALUE(calc!$E$10)),12,31))</f>
        <v>0</v>
      </c>
      <c r="H136" s="82" t="str">
        <f>IFERROR(G136/($G$132+$G$136+$G$140+$G$144+$G$150+$G$154+$G$158+$G$164+$G$168+$G$172)," ")</f>
        <v xml:space="preserve"> </v>
      </c>
    </row>
    <row r="137" spans="3:8" ht="17.25" x14ac:dyDescent="0.3">
      <c r="C137" s="83"/>
      <c r="D137" s="84" t="str">
        <f>IF(ISNONTEXT($E$7),"",$E$7)</f>
        <v>Unit 1</v>
      </c>
      <c r="E137" s="22">
        <f>COUNTIFS('Falls Data Entry'!$H$6:$H$423,"&lt;&gt;"&amp;" ",'Falls Data Entry'!$M$6:$M$423,"="&amp;"10-11:59am",'Falls Data Entry'!$H$6:$H$423,"&gt;="&amp;DATE(YEAR(calc!$E$9),MONTH(calc!$E$9),1),'Falls Data Entry'!$H$6:$H$423,"&lt;="&amp;EOMONTH(DATE(YEAR(calc!$E$9),MONTH(calc!$E$9),1),0),'Falls Data Entry'!$A$6:$A$423,D137)</f>
        <v>0</v>
      </c>
      <c r="F137" s="82" t="str">
        <f>IFERROR(E137/($E$133+$E$137+$E$141+$E$145+$E$151+$E$155+$E$159+$E$165+$E$169+$E$173)," ")</f>
        <v xml:space="preserve"> </v>
      </c>
      <c r="G137" s="22">
        <f>COUNTIFS('Falls Data Entry'!$H$6:$H$423,"&lt;&gt;"&amp;" ",'Falls Data Entry'!$M$6:$M$423,"="&amp;"10-11:59am",'Falls Data Entry'!$H$6:$H$423,"&gt;="&amp;DATE(YEAR(VALUE(calc!$E$10)),1,1),'Falls Data Entry'!$H$6:$H$423,"&lt;="&amp;DATE(YEAR(VALUE(calc!$E$10)),12,31),'Falls Data Entry'!$A$6:$A$423,D137)</f>
        <v>0</v>
      </c>
      <c r="H137" s="82" t="str">
        <f>IFERROR(G137/($G$133+$G$137+$G$141+$G$145+$G$151+$G$155+$G$159+$G$165+$G$169+$G$173)," ")</f>
        <v xml:space="preserve"> </v>
      </c>
    </row>
    <row r="138" spans="3:8" ht="17.25" x14ac:dyDescent="0.3">
      <c r="C138" s="83"/>
      <c r="D138" s="84" t="str">
        <f>IF(ISNONTEXT($F$7),"",$F$7)</f>
        <v/>
      </c>
      <c r="E138" s="22">
        <f>COUNTIFS('Falls Data Entry'!$H$6:$H$423,"&lt;&gt;"&amp;" ",'Falls Data Entry'!$M$6:$M$423,"="&amp;"10-11:59am",'Falls Data Entry'!$H$6:$H$423,"&gt;="&amp;DATE(YEAR(calc!$E$9),MONTH(calc!$E$9),1),'Falls Data Entry'!$H$6:$H$423,"&lt;="&amp;EOMONTH(DATE(YEAR(calc!$E$9),MONTH(calc!$E$9),1),0),'Falls Data Entry'!$A$6:$A$423,D138)</f>
        <v>0</v>
      </c>
      <c r="F138" s="82" t="str">
        <f>IFERROR(E138/($E$134+$E$138+$E$142+$E$146+$E$152+$E$156+$E$160+$E$166+$E$170+$E$174)," ")</f>
        <v xml:space="preserve"> </v>
      </c>
      <c r="G138" s="22">
        <f>COUNTIFS('Falls Data Entry'!$H$6:$H$423,"&lt;&gt;"&amp;" ",'Falls Data Entry'!$M$6:$M$423,"="&amp;"10-11:59am",'Falls Data Entry'!$H$6:$H$423,"&gt;="&amp;DATE(YEAR(VALUE(calc!$E$10)),1,1),'Falls Data Entry'!$H$6:$H$423,"&lt;="&amp;DATE(YEAR(VALUE(calc!$E$10)),12,31),'Falls Data Entry'!$A$6:$A$423,D138)</f>
        <v>0</v>
      </c>
      <c r="H138" s="82" t="str">
        <f>IFERROR(G138/($G$134+$G$138+$G$142+$G$146+$G$152+$G$156+$G$160+$G$166+$G$170+$G$174)," ")</f>
        <v xml:space="preserve"> </v>
      </c>
    </row>
    <row r="139" spans="3:8" ht="17.25" x14ac:dyDescent="0.3">
      <c r="C139" s="83"/>
      <c r="D139" s="84" t="str">
        <f>IF(ISNONTEXT($G$7),"",$G$7)</f>
        <v/>
      </c>
      <c r="E139" s="22">
        <f>COUNTIFS('Falls Data Entry'!$H$6:$H$423,"&lt;&gt;"&amp;" ",'Falls Data Entry'!$M$6:$M$423,"="&amp;"10-11:59am",'Falls Data Entry'!$H$6:$H$423,"&gt;="&amp;DATE(YEAR(calc!$E$9),MONTH(calc!$E$9),1),'Falls Data Entry'!$H$6:$H$423,"&lt;="&amp;EOMONTH(DATE(YEAR(calc!$E$9),MONTH(calc!$E$9),1),0),'Falls Data Entry'!$A$6:$A$423,D139)</f>
        <v>0</v>
      </c>
      <c r="F139" s="82">
        <f t="shared" ref="F139" si="3">IFERROR(E139/(E139+E143+E147+E151+E157+E161+E165+E171+E175+E179)," ")</f>
        <v>0</v>
      </c>
      <c r="G139" s="22">
        <f>COUNTIFS('Falls Data Entry'!$H$6:$H$423,"&lt;&gt;"&amp;" ",'Falls Data Entry'!$M$6:$M$423,"="&amp;"10-11:59am",'Falls Data Entry'!$H$6:$H$423,"&gt;="&amp;DATE(YEAR(VALUE(calc!$E$10)),1,1),'Falls Data Entry'!$H$6:$H$423,"&lt;="&amp;DATE(YEAR(VALUE(calc!$E$10)),12,31),'Falls Data Entry'!$A$6:$A$423,D139)</f>
        <v>0</v>
      </c>
      <c r="H139" s="82" t="str">
        <f>IFERROR(G139/($G$135+$G$139+$G$143+$G$147+$G$153+$G$157+$G$161+$G$167+$G$171+$G$175)," ")</f>
        <v xml:space="preserve"> </v>
      </c>
    </row>
    <row r="140" spans="3:8" ht="17.25" x14ac:dyDescent="0.3">
      <c r="C140" s="80" t="s">
        <v>56</v>
      </c>
      <c r="D140" s="81" t="s">
        <v>3</v>
      </c>
      <c r="E140" s="22">
        <f>COUNTIFS('Falls Data Entry'!$H$6:$H$423,"&lt;&gt;"&amp;" ",'Falls Data Entry'!$M$6:$M$423,"="&amp;"12-1:29pm",'Falls Data Entry'!$H$6:$H$423,"&gt;="&amp;DATE(YEAR(calc!$E$9),MONTH(calc!$E$9),1),'Falls Data Entry'!$H$6:$H$423,"&lt;="&amp;EOMONTH(DATE(YEAR(calc!$E$9),MONTH(calc!$E$9),1),0))</f>
        <v>0</v>
      </c>
      <c r="F140" s="82" t="str">
        <f>IFERROR(E140/($E$132+$E$136+$E$140+$E$144+$E$150+$E$154+$E$158+$E$164+$E$168+$E$172)," ")</f>
        <v xml:space="preserve"> </v>
      </c>
      <c r="G140" s="22">
        <f>COUNTIFS('Falls Data Entry'!$H$6:$H$423,"&lt;&gt;"&amp;" ",'Falls Data Entry'!$M$6:$M$423,"="&amp;"12-1:29pm",'Falls Data Entry'!$H$6:$H$423,"&gt;="&amp;DATE(YEAR(VALUE(calc!$E$10)),1,1),'Falls Data Entry'!$H$6:$H$423,"&lt;="&amp;DATE(YEAR(VALUE(calc!$E$10)),12,31))</f>
        <v>0</v>
      </c>
      <c r="H140" s="82" t="str">
        <f>IFERROR(G140/($G$132+$G$136+$G$140+$G$144+$G$150+$G$154+$G$158+$G$164+$G$168+$G$172)," ")</f>
        <v xml:space="preserve"> </v>
      </c>
    </row>
    <row r="141" spans="3:8" ht="17.25" x14ac:dyDescent="0.3">
      <c r="C141" s="83"/>
      <c r="D141" s="84" t="str">
        <f>IF(ISNONTEXT($E$7),"",$E$7)</f>
        <v>Unit 1</v>
      </c>
      <c r="E141" s="22">
        <f>COUNTIFS('Falls Data Entry'!$H$6:$H$423,"&lt;&gt;"&amp;" ",'Falls Data Entry'!$M$6:$M$423,"="&amp;"12-1:29pm",'Falls Data Entry'!$H$6:$H$423,"&gt;="&amp;DATE(YEAR(calc!$E$9),MONTH(calc!$E$9),1),'Falls Data Entry'!$H$6:$H$423,"&lt;="&amp;EOMONTH(DATE(YEAR(calc!$E$9),MONTH(calc!$E$9),1),0),'Falls Data Entry'!$A$6:$A$423,D141)</f>
        <v>0</v>
      </c>
      <c r="F141" s="82" t="str">
        <f>IFERROR(E141/($E$133+$E$137+$E$141+$E$145+$E$151+$E$155+$E$159+$E$165+$E$169+$E$173)," ")</f>
        <v xml:space="preserve"> </v>
      </c>
      <c r="G141" s="22">
        <f>COUNTIFS('Falls Data Entry'!$H$6:$H$423,"&lt;&gt;"&amp;" ",'Falls Data Entry'!$M$6:$M$423,"="&amp;"12-1:29pm",'Falls Data Entry'!$H$6:$H$423,"&gt;="&amp;DATE(YEAR(VALUE(calc!$E$10)),1,1),'Falls Data Entry'!$H$6:$H$423,"&lt;="&amp;DATE(YEAR(VALUE(calc!$E$10)),12,31),'Falls Data Entry'!$A$6:$A$423,D141)</f>
        <v>0</v>
      </c>
      <c r="H141" s="82" t="str">
        <f>IFERROR(G141/($G$133+$G$137+$G$141+$G$145+$G$151+$G$155+$G$159+$G$165+$G$169+$G$173)," ")</f>
        <v xml:space="preserve"> </v>
      </c>
    </row>
    <row r="142" spans="3:8" ht="17.25" x14ac:dyDescent="0.3">
      <c r="C142" s="83"/>
      <c r="D142" s="84" t="str">
        <f>IF(ISNONTEXT($F$7),"",$F$7)</f>
        <v/>
      </c>
      <c r="E142" s="22">
        <f>COUNTIFS('Falls Data Entry'!$H$6:$H$423,"&lt;&gt;"&amp;" ",'Falls Data Entry'!$M$6:$M$423,"="&amp;"12-1:29pm",'Falls Data Entry'!$H$6:$H$423,"&gt;="&amp;DATE(YEAR(calc!$E$9),MONTH(calc!$E$9),1),'Falls Data Entry'!$H$6:$H$423,"&lt;="&amp;EOMONTH(DATE(YEAR(calc!$E$9),MONTH(calc!$E$9),1),0),'Falls Data Entry'!$A$6:$A$423,D142)</f>
        <v>0</v>
      </c>
      <c r="F142" s="82" t="str">
        <f>IFERROR(E142/($E$134+$E$138+$E$142+$E$146+$E$152+$E$156+$E$160+$E$166+$E$170+$E$174)," ")</f>
        <v xml:space="preserve"> </v>
      </c>
      <c r="G142" s="22">
        <f>COUNTIFS('Falls Data Entry'!$H$6:$H$423,"&lt;&gt;"&amp;" ",'Falls Data Entry'!$M$6:$M$423,"="&amp;"12-1:29pm",'Falls Data Entry'!$H$6:$H$423,"&gt;="&amp;DATE(YEAR(VALUE(calc!$E$10)),1,1),'Falls Data Entry'!$H$6:$H$423,"&lt;="&amp;DATE(YEAR(VALUE(calc!$E$10)),12,31),'Falls Data Entry'!$A$6:$A$423,D142)</f>
        <v>0</v>
      </c>
      <c r="H142" s="82" t="str">
        <f>IFERROR(G142/($G$134+$G$138+$G$142+$G$146+$G$152+$G$156+$G$160+$G$166+$G$170+$G$174)," ")</f>
        <v xml:space="preserve"> </v>
      </c>
    </row>
    <row r="143" spans="3:8" ht="17.25" x14ac:dyDescent="0.3">
      <c r="C143" s="94"/>
      <c r="D143" s="84" t="str">
        <f>IF(ISNONTEXT($G$7),"",$G$7)</f>
        <v/>
      </c>
      <c r="E143" s="22">
        <f>COUNTIFS('Falls Data Entry'!$H$6:$H$423,"&lt;&gt;"&amp;" ",'Falls Data Entry'!$M$6:$M$423,"="&amp;"12-1:29pm",'Falls Data Entry'!$H$6:$H$423,"&gt;="&amp;DATE(YEAR(calc!$E$9),MONTH(calc!$E$9),1),'Falls Data Entry'!$H$6:$H$423,"&lt;="&amp;EOMONTH(DATE(YEAR(calc!$E$9),MONTH(calc!$E$9),1),0),'Falls Data Entry'!$A$6:$A$423,D143)</f>
        <v>0</v>
      </c>
      <c r="F143" s="82">
        <f t="shared" ref="F143" si="4">IFERROR(E143/(E143+E147+E151+E155+E161+E165+E169+E175+E179+E183)," ")</f>
        <v>0</v>
      </c>
      <c r="G143" s="22">
        <f>COUNTIFS('Falls Data Entry'!$H$6:$H$423,"&lt;&gt;"&amp;" ",'Falls Data Entry'!$M$6:$M$423,"="&amp;"12-1:29pm",'Falls Data Entry'!$H$6:$H$423,"&gt;="&amp;DATE(YEAR(VALUE(calc!$E$10)),1,1),'Falls Data Entry'!$H$6:$H$423,"&lt;="&amp;DATE(YEAR(VALUE(calc!$E$10)),12,31),'Falls Data Entry'!$A$6:$A$423,D143)</f>
        <v>0</v>
      </c>
      <c r="H143" s="82" t="str">
        <f>IFERROR(G143/($G$135+$G$139+$G$143+$G$147+$G$153+$G$157+$G$161+$G$167+$G$171+$G$175)," ")</f>
        <v xml:space="preserve"> </v>
      </c>
    </row>
    <row r="144" spans="3:8" ht="17.25" x14ac:dyDescent="0.3">
      <c r="C144" s="80" t="s">
        <v>57</v>
      </c>
      <c r="D144" s="81" t="s">
        <v>3</v>
      </c>
      <c r="E144" s="22">
        <f>COUNTIFS('Falls Data Entry'!$H$6:$H$423,"&lt;&gt;"&amp;" ",'Falls Data Entry'!$M$6:$M$423,"="&amp;"1:30-2:59pm",'Falls Data Entry'!$H$6:$H$423,"&gt;="&amp;DATE(YEAR(calc!$E$9),MONTH(calc!$E$9),1),'Falls Data Entry'!$H$6:$H$423,"&lt;="&amp;EOMONTH(DATE(YEAR(calc!$E$9),MONTH(calc!$E$9),1),0))</f>
        <v>0</v>
      </c>
      <c r="F144" s="82" t="str">
        <f>IFERROR(E144/($E$132+$E$136+$E$140+$E$144+$E$150+$E$154+$E$158+$E$164+$E$168+$E$172)," ")</f>
        <v xml:space="preserve"> </v>
      </c>
      <c r="G144" s="22">
        <f>COUNTIFS('Falls Data Entry'!$H$6:$H$423,"&lt;&gt;"&amp;" ",'Falls Data Entry'!$M$6:$M$423,"="&amp;"1:30-2:59pm",'Falls Data Entry'!$H$6:$H$423,"&gt;="&amp;DATE(YEAR(VALUE(calc!$E$10)),1,1),'Falls Data Entry'!$H$6:$H$423,"&lt;="&amp;DATE(YEAR(VALUE(calc!$E$10)),12,31))</f>
        <v>0</v>
      </c>
      <c r="H144" s="82" t="str">
        <f>IFERROR(G144/($G$132+$G$136+$G$140+$G$144+$G$150+$G$154+$G$158+$G$164+$G$168+$G$172)," ")</f>
        <v xml:space="preserve"> </v>
      </c>
    </row>
    <row r="145" spans="3:8" ht="17.25" x14ac:dyDescent="0.3">
      <c r="C145" s="83"/>
      <c r="D145" s="84" t="str">
        <f>IF(ISNONTEXT($E$7),"",$E$7)</f>
        <v>Unit 1</v>
      </c>
      <c r="E145" s="22">
        <f>COUNTIFS('Falls Data Entry'!$H$6:$H$423,"&lt;&gt;"&amp;" ",'Falls Data Entry'!$M$6:$M$423,"="&amp;"1:30-2:59pm",'Falls Data Entry'!$H$6:$H$423,"&gt;="&amp;DATE(YEAR(calc!$E$9),MONTH(calc!$E$9),1),'Falls Data Entry'!$H$6:$H$423,"&lt;="&amp;EOMONTH(DATE(YEAR(calc!$E$9),MONTH(calc!$E$9),1),0),'Falls Data Entry'!$A$6:$A$423,D145)</f>
        <v>0</v>
      </c>
      <c r="F145" s="82" t="str">
        <f>IFERROR(E145/($E$133+$E$137+$E$141+$E$145+$E$151+$E$155+$E$159+$E$165+$E$169+$E$173)," ")</f>
        <v xml:space="preserve"> </v>
      </c>
      <c r="G145" s="22">
        <f>COUNTIFS('Falls Data Entry'!$H$6:$H$423,"&lt;&gt;"&amp;" ",'Falls Data Entry'!$M$6:$M$423,"="&amp;"1:30-2:59pm",'Falls Data Entry'!$H$6:$H$423,"&gt;="&amp;DATE(YEAR(VALUE(calc!$E$10)),1,1),'Falls Data Entry'!$H$6:$H$423,"&lt;="&amp;DATE(YEAR(VALUE(calc!$E$10)),12,31),'Falls Data Entry'!$A$6:$A$423,D145)</f>
        <v>0</v>
      </c>
      <c r="H145" s="82" t="str">
        <f>IFERROR(G145/($G$133+$G$137+$G$141+$G$145+$G$151+$G$155+$G$159+$G$165+$G$169+$G$173)," ")</f>
        <v xml:space="preserve"> </v>
      </c>
    </row>
    <row r="146" spans="3:8" ht="17.25" x14ac:dyDescent="0.3">
      <c r="C146" s="83"/>
      <c r="D146" s="84" t="str">
        <f>IF(ISNONTEXT($F$7),"",$F$7)</f>
        <v/>
      </c>
      <c r="E146" s="22">
        <f>COUNTIFS('Falls Data Entry'!$H$6:$H$423,"&lt;&gt;"&amp;" ",'Falls Data Entry'!$M$6:$M$423,"="&amp;"1:30-2:59pm",'Falls Data Entry'!$H$6:$H$423,"&gt;="&amp;DATE(YEAR(calc!$E$9),MONTH(calc!$E$9),1),'Falls Data Entry'!$H$6:$H$423,"&lt;="&amp;EOMONTH(DATE(YEAR(calc!$E$9),MONTH(calc!$E$9),1),0),'Falls Data Entry'!$A$6:$A$423,D146)</f>
        <v>0</v>
      </c>
      <c r="F146" s="82" t="str">
        <f>IFERROR(E146/($E$134+$E$138+$E$142+$E$146+$E$152+$E$156+$E$160+$E$166+$E$170+$E$174)," ")</f>
        <v xml:space="preserve"> </v>
      </c>
      <c r="G146" s="22">
        <f>COUNTIFS('Falls Data Entry'!$H$6:$H$423,"&lt;&gt;"&amp;" ",'Falls Data Entry'!$M$6:$M$423,"="&amp;"1:30-2:59pm",'Falls Data Entry'!$H$6:$H$423,"&gt;="&amp;DATE(YEAR(VALUE(calc!$E$10)),1,1),'Falls Data Entry'!$H$6:$H$423,"&lt;="&amp;DATE(YEAR(VALUE(calc!$E$10)),12,31),'Falls Data Entry'!$A$6:$A$423,D146)</f>
        <v>0</v>
      </c>
      <c r="H146" s="82" t="str">
        <f>IFERROR(G146/($G$134+$G$138+$G$142+$G$146+$G$152+$G$156+$G$160+$G$166+$G$170+$G$174)," ")</f>
        <v xml:space="preserve"> </v>
      </c>
    </row>
    <row r="147" spans="3:8" ht="17.25" x14ac:dyDescent="0.3">
      <c r="C147" s="94"/>
      <c r="D147" s="84" t="str">
        <f>IF(ISNONTEXT($G$7),"",$G$7)</f>
        <v/>
      </c>
      <c r="E147" s="22">
        <f>COUNTIFS('Falls Data Entry'!$H$6:$H$423,"&lt;&gt;"&amp;" ",'Falls Data Entry'!$M$6:$M$423,"="&amp;"1:30-2:59pm",'Falls Data Entry'!$H$6:$H$423,"&gt;="&amp;DATE(YEAR(calc!$E$9),MONTH(calc!$E$9),1),'Falls Data Entry'!$H$6:$H$423,"&lt;="&amp;EOMONTH(DATE(YEAR(calc!$E$9),MONTH(calc!$E$9),1),0),'Falls Data Entry'!$A$6:$A$423,D147)</f>
        <v>0</v>
      </c>
      <c r="F147" s="82">
        <f t="shared" ref="F147" si="5">IFERROR(E147/(E147+E151+E155+E159+E165+E169+E173+E179+E183+E187)," ")</f>
        <v>0</v>
      </c>
      <c r="G147" s="22">
        <f>COUNTIFS('Falls Data Entry'!$H$6:$H$423,"&lt;&gt;"&amp;" ",'Falls Data Entry'!$M$6:$M$423,"="&amp;"1:30-2:59pm",'Falls Data Entry'!$H$6:$H$423,"&gt;="&amp;DATE(YEAR(VALUE(calc!$E$10)),1,1),'Falls Data Entry'!$H$6:$H$423,"&lt;="&amp;DATE(YEAR(VALUE(calc!$E$10)),12,31),'Falls Data Entry'!$A$6:$A$423,D147)</f>
        <v>0</v>
      </c>
      <c r="H147" s="82" t="str">
        <f>IFERROR(G147/($G$135+$G$139+$G$143+$G$147+$G$153+$G$157+$G$161+$G$167+$G$171+$G$175)," ")</f>
        <v xml:space="preserve"> </v>
      </c>
    </row>
    <row r="149" spans="3:8" ht="17.25" x14ac:dyDescent="0.3">
      <c r="C149" s="99"/>
      <c r="D149" s="100"/>
      <c r="E149" s="88" t="s">
        <v>52</v>
      </c>
      <c r="F149" s="89" t="s">
        <v>53</v>
      </c>
      <c r="G149" s="88" t="s">
        <v>52</v>
      </c>
      <c r="H149" s="89" t="s">
        <v>53</v>
      </c>
    </row>
    <row r="150" spans="3:8" ht="17.25" x14ac:dyDescent="0.3">
      <c r="C150" s="80" t="s">
        <v>58</v>
      </c>
      <c r="D150" s="81" t="s">
        <v>3</v>
      </c>
      <c r="E150" s="22">
        <f>COUNTIFS('Falls Data Entry'!$H$6:$H$423,"&lt;&gt;"&amp;" ",'Falls Data Entry'!$M$6:$M$423,"="&amp;"3-4:59pm",'Falls Data Entry'!$H$6:$H$423,"&gt;="&amp;DATE(YEAR(calc!$E$9),MONTH(calc!$E$9),1),'Falls Data Entry'!$H$6:$H$423,"&lt;="&amp;EOMONTH(DATE(YEAR(calc!$E$9),MONTH(calc!$E$9),1),0))</f>
        <v>0</v>
      </c>
      <c r="F150" s="82" t="str">
        <f>IFERROR(E150/($E$132+$E$136+$E$140+$E$144+$E$150+$E$154+$E$158+$E$164+$E$168+$E$172)," ")</f>
        <v xml:space="preserve"> </v>
      </c>
      <c r="G150" s="22">
        <f>COUNTIFS('Falls Data Entry'!$H$6:$H$423,"&lt;&gt;"&amp;" ",'Falls Data Entry'!$M$6:$M$423,"="&amp;"3-4:59pm",'Falls Data Entry'!$H$6:$H$423,"&gt;="&amp;DATE(YEAR(VALUE(calc!$E$10)),1,1),'Falls Data Entry'!$H$6:$H$423,"&lt;="&amp;DATE(YEAR(VALUE(calc!$E$10)),12,31))</f>
        <v>0</v>
      </c>
      <c r="H150" s="82" t="str">
        <f>IFERROR(G150/($G$132+$G$136+$G$140+$G$144+$G$150+$G$154+$G$158+$G$164+$G$168+$G$172)," ")</f>
        <v xml:space="preserve"> </v>
      </c>
    </row>
    <row r="151" spans="3:8" ht="17.25" x14ac:dyDescent="0.3">
      <c r="C151" s="83"/>
      <c r="D151" s="84" t="str">
        <f>IF(ISNONTEXT($E$7),"",$E$7)</f>
        <v>Unit 1</v>
      </c>
      <c r="E151" s="22">
        <f>COUNTIFS('Falls Data Entry'!$H$6:$H$423,"&lt;&gt;"&amp;" ",'Falls Data Entry'!$M$6:$M$423,"="&amp;"3-4:59pm",'Falls Data Entry'!$H$6:$H$423,"&gt;="&amp;DATE(YEAR(calc!$E$9),MONTH(calc!$E$9),1),'Falls Data Entry'!$H$6:$H$423,"&lt;="&amp;EOMONTH(DATE(YEAR(calc!$E$9),MONTH(calc!$E$9),1),0),'Falls Data Entry'!$A$6:$A$423,D151)</f>
        <v>0</v>
      </c>
      <c r="F151" s="82" t="str">
        <f>IFERROR(E151/($E$133+$E$137+$E$141+$E$145+$E$151+$E$155+$E$159+$E$165+$E$169+$E$173)," ")</f>
        <v xml:space="preserve"> </v>
      </c>
      <c r="G151" s="22">
        <f>COUNTIFS('Falls Data Entry'!$H$6:$H$423,"&lt;&gt;"&amp;" ",'Falls Data Entry'!$M$6:$M$423,"="&amp;"3-4:59pm",'Falls Data Entry'!$H$6:$H$423,"&gt;="&amp;DATE(YEAR(VALUE(calc!$E$10)),1,1),'Falls Data Entry'!$H$6:$H$423,"&lt;="&amp;DATE(YEAR(VALUE(calc!$E$10)),12,31),'Falls Data Entry'!$A$6:$A$423,D151)</f>
        <v>0</v>
      </c>
      <c r="H151" s="82" t="str">
        <f>IFERROR(G151/($G$133+$G$137+$G$141+$G$145+$G$151+$G$155+$G$159+$G$165+$G$169+$G$173)," ")</f>
        <v xml:space="preserve"> </v>
      </c>
    </row>
    <row r="152" spans="3:8" ht="17.25" x14ac:dyDescent="0.3">
      <c r="C152" s="83"/>
      <c r="D152" s="84" t="str">
        <f>IF(ISNONTEXT($F$7),"",$F$7)</f>
        <v/>
      </c>
      <c r="E152" s="22">
        <f>COUNTIFS('Falls Data Entry'!$H$6:$H$423,"&lt;&gt;"&amp;" ",'Falls Data Entry'!$M$6:$M$423,"="&amp;"3-4:59pm",'Falls Data Entry'!$H$6:$H$423,"&gt;="&amp;DATE(YEAR(calc!$E$9),MONTH(calc!$E$9),1),'Falls Data Entry'!$H$6:$H$423,"&lt;="&amp;EOMONTH(DATE(YEAR(calc!$E$9),MONTH(calc!$E$9),1),0),'Falls Data Entry'!$A$6:$A$423,D152)</f>
        <v>0</v>
      </c>
      <c r="F152" s="82" t="str">
        <f>IFERROR(E152/($E$134+$E$138+$E$142+$E$146+$E$152+$E$156+$E$160+$E$166+$E$170+$E$174)," ")</f>
        <v xml:space="preserve"> </v>
      </c>
      <c r="G152" s="22">
        <f>COUNTIFS('Falls Data Entry'!$H$6:$H$423,"&lt;&gt;"&amp;" ",'Falls Data Entry'!$M$6:$M$423,"="&amp;"3-4:59pm",'Falls Data Entry'!$H$6:$H$423,"&gt;="&amp;DATE(YEAR(VALUE(calc!$E$10)),1,1),'Falls Data Entry'!$H$6:$H$423,"&lt;="&amp;DATE(YEAR(VALUE(calc!$E$10)),12,31),'Falls Data Entry'!$A$6:$A$423,D152)</f>
        <v>0</v>
      </c>
      <c r="H152" s="82" t="str">
        <f>IFERROR(G152/($G$134+$G$138+$G$142+$G$146+$G$152+$G$156+$G$160+$G$166+$G$170+$G$174)," ")</f>
        <v xml:space="preserve"> </v>
      </c>
    </row>
    <row r="153" spans="3:8" ht="17.25" x14ac:dyDescent="0.3">
      <c r="C153" s="83"/>
      <c r="D153" s="84" t="str">
        <f>IF(ISNONTEXT($G$7),"",$G$7)</f>
        <v/>
      </c>
      <c r="E153" s="22">
        <f>COUNTIFS('Falls Data Entry'!$H$6:$H$423,"&lt;&gt;"&amp;" ",'Falls Data Entry'!$M$6:$M$423,"="&amp;"3-4:59pm",'Falls Data Entry'!$H$6:$H$423,"&gt;="&amp;DATE(YEAR(calc!$E$9),MONTH(calc!$E$9),1),'Falls Data Entry'!$H$6:$H$423,"&lt;="&amp;EOMONTH(DATE(YEAR(calc!$E$9),MONTH(calc!$E$9),1),0),'Falls Data Entry'!$A$6:$A$423,D153)</f>
        <v>0</v>
      </c>
      <c r="F153" s="82">
        <f t="shared" ref="F153" si="6">IFERROR(E153/(E153+E157+E161+E165+E171+E175+E179+E185+E189+E193)," ")</f>
        <v>0</v>
      </c>
      <c r="G153" s="22">
        <f>COUNTIFS('Falls Data Entry'!$H$6:$H$423,"&lt;&gt;"&amp;" ",'Falls Data Entry'!$M$6:$M$423,"="&amp;"3-4:59pm",'Falls Data Entry'!$H$6:$H$423,"&gt;="&amp;DATE(YEAR(VALUE(calc!$E$10)),1,1),'Falls Data Entry'!$H$6:$H$423,"&lt;="&amp;DATE(YEAR(VALUE(calc!$E$10)),12,31),'Falls Data Entry'!$A$6:$A$423,D153)</f>
        <v>0</v>
      </c>
      <c r="H153" s="82" t="str">
        <f>IFERROR(G153/($G$135+$G$139+$G$143+$G$147+$G$153+$G$157+$G$161+$G$167+$G$171+$G$175)," ")</f>
        <v xml:space="preserve"> </v>
      </c>
    </row>
    <row r="154" spans="3:8" ht="17.25" x14ac:dyDescent="0.3">
      <c r="C154" s="80" t="s">
        <v>59</v>
      </c>
      <c r="D154" s="81" t="s">
        <v>3</v>
      </c>
      <c r="E154" s="22">
        <f>COUNTIFS('Falls Data Entry'!$H$6:$H$423,"&lt;&gt;"&amp;" ",'Falls Data Entry'!$M$6:$M$423,"="&amp;"5-7:59pm",'Falls Data Entry'!$H$6:$H$423,"&gt;="&amp;DATE(YEAR(calc!$E$9),MONTH(calc!$E$9),1),'Falls Data Entry'!$H$6:$H$423,"&lt;="&amp;EOMONTH(DATE(YEAR(calc!$E$9),MONTH(calc!$E$9),1),0))</f>
        <v>0</v>
      </c>
      <c r="F154" s="82" t="str">
        <f>IFERROR(E154/($E$132+$E$136+$E$140+$E$144+$E$150+$E$154+$E$158+$E$164+$E$168+$E$172)," ")</f>
        <v xml:space="preserve"> </v>
      </c>
      <c r="G154" s="22">
        <f>COUNTIFS('Falls Data Entry'!$H$6:$H$423,"&lt;&gt;"&amp;" ",'Falls Data Entry'!$M$6:$M$423,"="&amp;"5-7:59pm",'Falls Data Entry'!$H$6:$H$423,"&gt;="&amp;DATE(YEAR(VALUE(calc!$E$10)),1,1),'Falls Data Entry'!$H$6:$H$423,"&lt;="&amp;DATE(YEAR(VALUE(calc!$E$10)),12,31))</f>
        <v>0</v>
      </c>
      <c r="H154" s="82" t="str">
        <f>IFERROR(G154/($G$132+$G$136+$G$140+$G$144+$G$150+$G$154+$G$158+$G$164+$G$168+$G$172)," ")</f>
        <v xml:space="preserve"> </v>
      </c>
    </row>
    <row r="155" spans="3:8" ht="17.25" x14ac:dyDescent="0.3">
      <c r="C155" s="83"/>
      <c r="D155" s="84" t="str">
        <f>IF(ISNONTEXT($E$7),"",$E$7)</f>
        <v>Unit 1</v>
      </c>
      <c r="E155" s="22">
        <f>COUNTIFS('Falls Data Entry'!$H$6:$H$423,"&lt;&gt;"&amp;" ",'Falls Data Entry'!$M$6:$M$423,"="&amp;"5-7:59pm",'Falls Data Entry'!$H$6:$H$423,"&gt;="&amp;DATE(YEAR(calc!$E$9),MONTH(calc!$E$9),1),'Falls Data Entry'!$H$6:$H$423,"&lt;="&amp;EOMONTH(DATE(YEAR(calc!$E$9),MONTH(calc!$E$9),1),0),'Falls Data Entry'!$A$6:$A$423,D155)</f>
        <v>0</v>
      </c>
      <c r="F155" s="82" t="str">
        <f>IFERROR(E155/($E$133+$E$137+$E$141+$E$145+$E$151+$E$155+$E$159+$E$165+$E$169+$E$173)," ")</f>
        <v xml:space="preserve"> </v>
      </c>
      <c r="G155" s="22">
        <f>COUNTIFS('Falls Data Entry'!$H$6:$H$423,"&lt;&gt;"&amp;" ",'Falls Data Entry'!$M$6:$M$423,"="&amp;"5-7:59pm",'Falls Data Entry'!$H$6:$H$423,"&gt;="&amp;DATE(YEAR(VALUE(calc!$E$10)),1,1),'Falls Data Entry'!$H$6:$H$423,"&lt;="&amp;DATE(YEAR(VALUE(calc!$E$10)),12,31),'Falls Data Entry'!$A$6:$A$423,D155)</f>
        <v>0</v>
      </c>
      <c r="H155" s="82" t="str">
        <f>IFERROR(G155/($G$133+$G$137+$G$141+$G$145+$G$151+$G$155+$G$159+$G$165+$G$169+$G$173)," ")</f>
        <v xml:space="preserve"> </v>
      </c>
    </row>
    <row r="156" spans="3:8" ht="17.25" x14ac:dyDescent="0.3">
      <c r="C156" s="83"/>
      <c r="D156" s="84" t="str">
        <f>IF(ISNONTEXT($F$7),"",$F$7)</f>
        <v/>
      </c>
      <c r="E156" s="22">
        <f>COUNTIFS('Falls Data Entry'!$H$6:$H$423,"&lt;&gt;"&amp;" ",'Falls Data Entry'!$M$6:$M$423,"="&amp;"5-7:59pm",'Falls Data Entry'!$H$6:$H$423,"&gt;="&amp;DATE(YEAR(calc!$E$9),MONTH(calc!$E$9),1),'Falls Data Entry'!$H$6:$H$423,"&lt;="&amp;EOMONTH(DATE(YEAR(calc!$E$9),MONTH(calc!$E$9),1),0),'Falls Data Entry'!$A$6:$A$423,D156)</f>
        <v>0</v>
      </c>
      <c r="F156" s="82" t="str">
        <f>IFERROR(E156/($E$134+$E$138+$E$142+$E$146+$E$152+$E$156+$E$160+$E$166+$E$170+$E$174)," ")</f>
        <v xml:space="preserve"> </v>
      </c>
      <c r="G156" s="22">
        <f>COUNTIFS('Falls Data Entry'!$H$6:$H$423,"&lt;&gt;"&amp;" ",'Falls Data Entry'!$M$6:$M$423,"="&amp;"5-7:59pm",'Falls Data Entry'!$H$6:$H$423,"&gt;="&amp;DATE(YEAR(VALUE(calc!$E$10)),1,1),'Falls Data Entry'!$H$6:$H$423,"&lt;="&amp;DATE(YEAR(VALUE(calc!$E$10)),12,31),'Falls Data Entry'!$A$6:$A$423,D156)</f>
        <v>0</v>
      </c>
      <c r="H156" s="82" t="str">
        <f>IFERROR(G156/($G$134+$G$138+$G$142+$G$146+$G$152+$G$156+$G$160+$G$166+$G$170+$G$174)," ")</f>
        <v xml:space="preserve"> </v>
      </c>
    </row>
    <row r="157" spans="3:8" ht="17.25" x14ac:dyDescent="0.3">
      <c r="C157" s="83"/>
      <c r="D157" s="84" t="str">
        <f>IF(ISNONTEXT($G$7),"",$G$7)</f>
        <v/>
      </c>
      <c r="E157" s="22">
        <f>COUNTIFS('Falls Data Entry'!$H$6:$H$423,"&lt;&gt;"&amp;" ",'Falls Data Entry'!$M$6:$M$423,"="&amp;"5-7:59pm",'Falls Data Entry'!$H$6:$H$423,"&gt;="&amp;DATE(YEAR(calc!$E$9),MONTH(calc!$E$9),1),'Falls Data Entry'!$H$6:$H$423,"&lt;="&amp;EOMONTH(DATE(YEAR(calc!$E$9),MONTH(calc!$E$9),1),0),'Falls Data Entry'!$A$6:$A$423,D157)</f>
        <v>0</v>
      </c>
      <c r="F157" s="82">
        <f t="shared" ref="F157" si="7">IFERROR(E157/(E157+E161+E165+E169+E175+E179+E183+E189+E193+E197)," ")</f>
        <v>0</v>
      </c>
      <c r="G157" s="22">
        <f>COUNTIFS('Falls Data Entry'!$H$6:$H$423,"&lt;&gt;"&amp;" ",'Falls Data Entry'!$M$6:$M$423,"="&amp;"5-7:59pm",'Falls Data Entry'!$H$6:$H$423,"&gt;="&amp;DATE(YEAR(VALUE(calc!$E$10)),1,1),'Falls Data Entry'!$H$6:$H$423,"&lt;="&amp;DATE(YEAR(VALUE(calc!$E$10)),12,31),'Falls Data Entry'!$A$6:$A$423,D157)</f>
        <v>0</v>
      </c>
      <c r="H157" s="82" t="str">
        <f>IFERROR(G157/($G$135+$G$139+$G$143+$G$147+$G$153+$G$157+$G$161+$G$167+$G$171+$G$175)," ")</f>
        <v xml:space="preserve"> </v>
      </c>
    </row>
    <row r="158" spans="3:8" ht="17.25" x14ac:dyDescent="0.3">
      <c r="C158" s="80" t="s">
        <v>60</v>
      </c>
      <c r="D158" s="81" t="s">
        <v>3</v>
      </c>
      <c r="E158" s="22">
        <f>COUNTIFS('Falls Data Entry'!$H$6:$H$423,"&lt;&gt;"&amp;" ",'Falls Data Entry'!$M$6:$M$423,"="&amp;"8-10:59pm",'Falls Data Entry'!$H$6:$H$423,"&gt;="&amp;DATE(YEAR(calc!$E$9),MONTH(calc!$E$9),1),'Falls Data Entry'!$H$6:$H$423,"&lt;="&amp;EOMONTH(DATE(YEAR(calc!$E$9),MONTH(calc!$E$9),1),0))</f>
        <v>0</v>
      </c>
      <c r="F158" s="82" t="str">
        <f>IFERROR(E158/($E$132+$E$136+$E$140+$E$144+$E$150+$E$154+$E$158+$E$164+$E$168+$E$172)," ")</f>
        <v xml:space="preserve"> </v>
      </c>
      <c r="G158" s="22">
        <f>COUNTIFS('Falls Data Entry'!$H$6:$H$423,"&lt;&gt;"&amp;" ",'Falls Data Entry'!$M$6:$M$423,"="&amp;"8-10:59pm",'Falls Data Entry'!$H$6:$H$423,"&gt;="&amp;DATE(YEAR(VALUE(calc!$E$10)),1,1),'Falls Data Entry'!$H$6:$H$423,"&lt;="&amp;DATE(YEAR(VALUE(calc!$E$10)),12,31))</f>
        <v>0</v>
      </c>
      <c r="H158" s="82" t="str">
        <f>IFERROR(G158/($G$132+$G$136+$G$140+$G$144+$G$150+$G$154+$G$158+$G$164+$G$168+$G$172)," ")</f>
        <v xml:space="preserve"> </v>
      </c>
    </row>
    <row r="159" spans="3:8" ht="17.25" x14ac:dyDescent="0.3">
      <c r="C159" s="83"/>
      <c r="D159" s="84" t="str">
        <f>IF(ISNONTEXT($E$7),"",$E$7)</f>
        <v>Unit 1</v>
      </c>
      <c r="E159" s="22">
        <f>COUNTIFS('Falls Data Entry'!$H$6:$H$423,"&lt;&gt;"&amp;" ",'Falls Data Entry'!$M$6:$M$423,"="&amp;"8-10:59pm",'Falls Data Entry'!$H$6:$H$423,"&gt;="&amp;DATE(YEAR(calc!$E$9),MONTH(calc!$E$9),1),'Falls Data Entry'!$H$6:$H$423,"&lt;="&amp;EOMONTH(DATE(YEAR(calc!$E$9),MONTH(calc!$E$9),1),0),'Falls Data Entry'!$A$6:$A$423,D159)</f>
        <v>0</v>
      </c>
      <c r="F159" s="82" t="str">
        <f>IFERROR(E159/($E$133+$E$137+$E$141+$E$145+$E$151+$E$155+$E$159+$E$165+$E$169+$E$173)," ")</f>
        <v xml:space="preserve"> </v>
      </c>
      <c r="G159" s="22">
        <f>COUNTIFS('Falls Data Entry'!$H$6:$H$423,"&lt;&gt;"&amp;" ",'Falls Data Entry'!$M$6:$M$423,"="&amp;"8-10:59pm",'Falls Data Entry'!$H$6:$H$423,"&gt;="&amp;DATE(YEAR(VALUE(calc!$E$10)),1,1),'Falls Data Entry'!$H$6:$H$423,"&lt;="&amp;DATE(YEAR(VALUE(calc!$E$10)),12,31),'Falls Data Entry'!$A$6:$A$423,D159)</f>
        <v>0</v>
      </c>
      <c r="H159" s="82" t="str">
        <f>IFERROR(G159/($G$133+$G$137+$G$141+$G$145+$G$151+$G$155+$G$159+$G$165+$G$169+$G$173)," ")</f>
        <v xml:space="preserve"> </v>
      </c>
    </row>
    <row r="160" spans="3:8" ht="17.25" x14ac:dyDescent="0.3">
      <c r="C160" s="83"/>
      <c r="D160" s="84" t="str">
        <f>IF(ISNONTEXT($F$7),"",$F$7)</f>
        <v/>
      </c>
      <c r="E160" s="22">
        <f>COUNTIFS('Falls Data Entry'!$H$6:$H$423,"&lt;&gt;"&amp;" ",'Falls Data Entry'!$M$6:$M$423,"="&amp;"8-10:59pm",'Falls Data Entry'!$H$6:$H$423,"&gt;="&amp;DATE(YEAR(calc!$E$9),MONTH(calc!$E$9),1),'Falls Data Entry'!$H$6:$H$423,"&lt;="&amp;EOMONTH(DATE(YEAR(calc!$E$9),MONTH(calc!$E$9),1),0),'Falls Data Entry'!$A$6:$A$423,D160)</f>
        <v>0</v>
      </c>
      <c r="F160" s="82" t="str">
        <f>IFERROR(E160/($E$134+$E$138+$E$142+$E$146+$E$152+$E$156+$E$160+$E$166+$E$170+$E$174)," ")</f>
        <v xml:space="preserve"> </v>
      </c>
      <c r="G160" s="22">
        <f>COUNTIFS('Falls Data Entry'!$H$6:$H$423,"&lt;&gt;"&amp;" ",'Falls Data Entry'!$M$6:$M$423,"="&amp;"8-10:59pm",'Falls Data Entry'!$H$6:$H$423,"&gt;="&amp;DATE(YEAR(VALUE(calc!$E$10)),1,1),'Falls Data Entry'!$H$6:$H$423,"&lt;="&amp;DATE(YEAR(VALUE(calc!$E$10)),12,31),'Falls Data Entry'!$A$6:$A$423,D160)</f>
        <v>0</v>
      </c>
      <c r="H160" s="82" t="str">
        <f>IFERROR(G160/($G$134+$G$138+$G$142+$G$146+$G$152+$G$156+$G$160+$G$166+$G$170+$G$174)," ")</f>
        <v xml:space="preserve"> </v>
      </c>
    </row>
    <row r="161" spans="3:8" ht="17.25" x14ac:dyDescent="0.3">
      <c r="C161" s="94"/>
      <c r="D161" s="84" t="str">
        <f>IF(ISNONTEXT($G$7),"",$G$7)</f>
        <v/>
      </c>
      <c r="E161" s="22">
        <f>COUNTIFS('Falls Data Entry'!$H$6:$H$423,"&lt;&gt;"&amp;" ",'Falls Data Entry'!$M$6:$M$423,"="&amp;"8-10:59pm",'Falls Data Entry'!$H$6:$H$423,"&gt;="&amp;DATE(YEAR(calc!$E$9),MONTH(calc!$E$9),1),'Falls Data Entry'!$H$6:$H$423,"&lt;="&amp;EOMONTH(DATE(YEAR(calc!$E$9),MONTH(calc!$E$9),1),0),'Falls Data Entry'!$A$6:$A$423,D161)</f>
        <v>0</v>
      </c>
      <c r="F161" s="82">
        <f t="shared" ref="F161" si="8">IFERROR(E161/(E161+E165+E169+E173+E179+E183+E187+E193+E197+E201)," ")</f>
        <v>0</v>
      </c>
      <c r="G161" s="22">
        <f>COUNTIFS('Falls Data Entry'!$H$6:$H$423,"&lt;&gt;"&amp;" ",'Falls Data Entry'!$M$6:$M$423,"="&amp;"8-10:59pm",'Falls Data Entry'!$H$6:$H$423,"&gt;="&amp;DATE(YEAR(VALUE(calc!$E$10)),1,1),'Falls Data Entry'!$H$6:$H$423,"&lt;="&amp;DATE(YEAR(VALUE(calc!$E$10)),12,31),'Falls Data Entry'!$A$6:$A$423,D161)</f>
        <v>0</v>
      </c>
      <c r="H161" s="82" t="str">
        <f>IFERROR(G161/($G$135+$G$139+$G$143+$G$147+$G$153+$G$157+$G$161+$G$167+$G$171+$G$175)," ")</f>
        <v xml:space="preserve"> </v>
      </c>
    </row>
    <row r="163" spans="3:8" ht="17.25" x14ac:dyDescent="0.3">
      <c r="C163" s="99"/>
      <c r="D163" s="100"/>
      <c r="E163" s="88" t="s">
        <v>52</v>
      </c>
      <c r="F163" s="89" t="s">
        <v>53</v>
      </c>
      <c r="G163" s="88" t="s">
        <v>52</v>
      </c>
      <c r="H163" s="89" t="s">
        <v>53</v>
      </c>
    </row>
    <row r="164" spans="3:8" ht="17.25" x14ac:dyDescent="0.3">
      <c r="C164" s="80" t="s">
        <v>61</v>
      </c>
      <c r="D164" s="81" t="s">
        <v>3</v>
      </c>
      <c r="E164" s="22">
        <f>COUNTIFS('Falls Data Entry'!$H$6:$H$423,"&lt;&gt;"&amp;" ",'Falls Data Entry'!$M$6:$M$423,"="&amp;"11pm-12:59am",'Falls Data Entry'!$H$6:$H$423,"&gt;="&amp;DATE(YEAR(calc!$E$9),MONTH(calc!$E$9),1),'Falls Data Entry'!$H$6:$H$423,"&lt;="&amp;EOMONTH(DATE(YEAR(calc!$E$9),MONTH(calc!$E$9),1),0))</f>
        <v>0</v>
      </c>
      <c r="F164" s="82" t="str">
        <f>IFERROR(E164/($E$132+$E$136+$E$140+$E$144+$E$150+$E$154+$E$158+$E$164+$E$168+$E$172)," ")</f>
        <v xml:space="preserve"> </v>
      </c>
      <c r="G164" s="22">
        <f>COUNTIFS('Falls Data Entry'!$H$6:$H$423,"&lt;&gt;"&amp;" ",'Falls Data Entry'!$M$6:$M$423,"="&amp;"11pm-12:59am",'Falls Data Entry'!$H$6:$H$423,"&gt;="&amp;DATE(YEAR(VALUE(calc!$E$10)),1,1),'Falls Data Entry'!$H$6:$H$423,"&lt;="&amp;DATE(YEAR(VALUE(calc!$E$10)),12,31))</f>
        <v>0</v>
      </c>
      <c r="H164" s="82" t="str">
        <f>IFERROR(G164/($G$132+$G$136+$G$140+$G$144+$G$150+$G$154+$G$158+$G$164+$G$168+$G$172)," ")</f>
        <v xml:space="preserve"> </v>
      </c>
    </row>
    <row r="165" spans="3:8" ht="17.25" x14ac:dyDescent="0.3">
      <c r="C165" s="83"/>
      <c r="D165" s="84" t="str">
        <f>IF(ISNONTEXT($E$7),"",$E$7)</f>
        <v>Unit 1</v>
      </c>
      <c r="E165" s="22">
        <f>COUNTIFS('Falls Data Entry'!$H$6:$H$423,"&lt;&gt;"&amp;" ",'Falls Data Entry'!$M$6:$M$423,"="&amp;"11pm-12:59am",'Falls Data Entry'!$H$6:$H$423,"&gt;="&amp;DATE(YEAR(calc!$E$9),MONTH(calc!$E$9),1),'Falls Data Entry'!$H$6:$H$423,"&lt;="&amp;EOMONTH(DATE(YEAR(calc!$E$9),MONTH(calc!$E$9),1),0),'Falls Data Entry'!$A$6:$A$423,D165)</f>
        <v>0</v>
      </c>
      <c r="F165" s="82" t="str">
        <f>IFERROR(E165/($E$133+$E$137+$E$141+$E$145+$E$151+$E$155+$E$159+$E$165+$E$169+$E$173)," ")</f>
        <v xml:space="preserve"> </v>
      </c>
      <c r="G165" s="22">
        <f>COUNTIFS('Falls Data Entry'!$H$6:$H$423,"&lt;&gt;"&amp;" ",'Falls Data Entry'!$M$6:$M$423,"="&amp;"11pm-12:59am",'Falls Data Entry'!$H$6:$H$423,"&gt;="&amp;DATE(YEAR(VALUE(calc!$E$10)),1,1),'Falls Data Entry'!$H$6:$H$423,"&lt;="&amp;DATE(YEAR(VALUE(calc!$E$10)),12,31),'Falls Data Entry'!$A$6:$A$423,D165)</f>
        <v>0</v>
      </c>
      <c r="H165" s="82" t="str">
        <f>IFERROR(G165/($G$133+$G$137+$G$141+$G$145+$G$151+$G$155+$G$159+$G$165+$G$169+$G$173)," ")</f>
        <v xml:space="preserve"> </v>
      </c>
    </row>
    <row r="166" spans="3:8" ht="17.25" x14ac:dyDescent="0.3">
      <c r="C166" s="83"/>
      <c r="D166" s="84" t="str">
        <f>IF(ISNONTEXT($F$7),"",$F$7)</f>
        <v/>
      </c>
      <c r="E166" s="22">
        <f>COUNTIFS('Falls Data Entry'!$H$6:$H$423,"&lt;&gt;"&amp;" ",'Falls Data Entry'!$M$6:$M$423,"="&amp;"11pm-12:59am",'Falls Data Entry'!$H$6:$H$423,"&gt;="&amp;DATE(YEAR(calc!$E$9),MONTH(calc!$E$9),1),'Falls Data Entry'!$H$6:$H$423,"&lt;="&amp;EOMONTH(DATE(YEAR(calc!$E$9),MONTH(calc!$E$9),1),0),'Falls Data Entry'!$A$6:$A$423,D166)</f>
        <v>0</v>
      </c>
      <c r="F166" s="82" t="str">
        <f>IFERROR(E166/($E$134+$E$138+$E$142+$E$146+$E$152+$E$156+$E$160+$E$166+$E$170+$E$174)," ")</f>
        <v xml:space="preserve"> </v>
      </c>
      <c r="G166" s="22">
        <f>COUNTIFS('Falls Data Entry'!$H$6:$H$423,"&lt;&gt;"&amp;" ",'Falls Data Entry'!$M$6:$M$423,"="&amp;"11pm-12:59am",'Falls Data Entry'!$H$6:$H$423,"&gt;="&amp;DATE(YEAR(VALUE(calc!$E$10)),1,1),'Falls Data Entry'!$H$6:$H$423,"&lt;="&amp;DATE(YEAR(VALUE(calc!$E$10)),12,31),'Falls Data Entry'!$A$6:$A$423,D166)</f>
        <v>0</v>
      </c>
      <c r="H166" s="82" t="str">
        <f>IFERROR(G166/($G$134+$G$138+$G$142+$G$146+$G$152+$G$156+$G$160+$G$166+$G$170+$G$174)," ")</f>
        <v xml:space="preserve"> </v>
      </c>
    </row>
    <row r="167" spans="3:8" ht="17.25" x14ac:dyDescent="0.3">
      <c r="C167" s="83"/>
      <c r="D167" s="84" t="str">
        <f>IF(ISNONTEXT($G$7),"",$G$7)</f>
        <v/>
      </c>
      <c r="E167" s="22">
        <f>COUNTIFS('Falls Data Entry'!$H$6:$H$423,"&lt;&gt;"&amp;" ",'Falls Data Entry'!$M$6:$M$423,"="&amp;"11pm-12:59am",'Falls Data Entry'!$H$6:$H$423,"&gt;="&amp;DATE(YEAR(calc!$E$9),MONTH(calc!$E$9),1),'Falls Data Entry'!$H$6:$H$423,"&lt;="&amp;EOMONTH(DATE(YEAR(calc!$E$9),MONTH(calc!$E$9),1),0),'Falls Data Entry'!$A$6:$A$423,D167)</f>
        <v>0</v>
      </c>
      <c r="F167" s="82">
        <f t="shared" ref="F167" si="9">IFERROR(E167/(E167+E171+E175+E179+E185+E189+E193+E199+E203+E207)," ")</f>
        <v>0</v>
      </c>
      <c r="G167" s="22">
        <f>COUNTIFS('Falls Data Entry'!$H$6:$H$423,"&lt;&gt;"&amp;" ",'Falls Data Entry'!$M$6:$M$423,"="&amp;"11pm-12:59am",'Falls Data Entry'!$H$6:$H$423,"&gt;="&amp;DATE(YEAR(VALUE(calc!$E$10)),1,1),'Falls Data Entry'!$H$6:$H$423,"&lt;="&amp;DATE(YEAR(VALUE(calc!$E$10)),12,31),'Falls Data Entry'!$A$6:$A$423,D167)</f>
        <v>0</v>
      </c>
      <c r="H167" s="82" t="str">
        <f>IFERROR(G167/($G$135+$G$139+$G$143+$G$147+$G$153+$G$157+$G$161+$G$167+$G$171+$G$175)," ")</f>
        <v xml:space="preserve"> </v>
      </c>
    </row>
    <row r="168" spans="3:8" ht="17.25" x14ac:dyDescent="0.3">
      <c r="C168" s="80" t="s">
        <v>62</v>
      </c>
      <c r="D168" s="81" t="s">
        <v>3</v>
      </c>
      <c r="E168" s="22">
        <f>COUNTIFS('Falls Data Entry'!$H$6:$H$423,"&lt;&gt;"&amp;" ",'Falls Data Entry'!$M$6:$M$423,"="&amp;"1-4:59am",'Falls Data Entry'!$H$6:$H$423,"&gt;="&amp;DATE(YEAR(calc!$E$9),MONTH(calc!$E$9),1),'Falls Data Entry'!$H$6:$H$423,"&lt;="&amp;EOMONTH(DATE(YEAR(calc!$E$9),MONTH(calc!$E$9),1),0))</f>
        <v>0</v>
      </c>
      <c r="F168" s="82" t="str">
        <f>IFERROR(E168/($E$132+$E$136+$E$140+$E$144+$E$150+$E$154+$E$158+$E$164+$E$168+$E$172)," ")</f>
        <v xml:space="preserve"> </v>
      </c>
      <c r="G168" s="22">
        <f>COUNTIFS('Falls Data Entry'!$H$6:$H$423,"&lt;&gt;"&amp;" ",'Falls Data Entry'!$M$6:$M$423,"="&amp;"1-4:59am",'Falls Data Entry'!$H$6:$H$423,"&gt;="&amp;DATE(YEAR(VALUE(calc!$E$10)),1,1),'Falls Data Entry'!$H$6:$H$423,"&lt;="&amp;DATE(YEAR(VALUE(calc!$E$10)),12,31))</f>
        <v>0</v>
      </c>
      <c r="H168" s="82" t="str">
        <f>IFERROR(G168/($G$132+$G$136+$G$140+$G$144+$G$150+$G$154+$G$158+$G$164+$G$168+$G$172)," ")</f>
        <v xml:space="preserve"> </v>
      </c>
    </row>
    <row r="169" spans="3:8" ht="17.25" x14ac:dyDescent="0.3">
      <c r="C169" s="83"/>
      <c r="D169" s="84" t="str">
        <f>IF(ISNONTEXT($E$7),"",$E$7)</f>
        <v>Unit 1</v>
      </c>
      <c r="E169" s="22">
        <f>COUNTIFS('Falls Data Entry'!$H$6:$H$423,"&lt;&gt;"&amp;" ",'Falls Data Entry'!$M$6:$M$423,"="&amp;"1-4:59am",'Falls Data Entry'!$H$6:$H$423,"&gt;="&amp;DATE(YEAR(calc!$E$9),MONTH(calc!$E$9),1),'Falls Data Entry'!$H$6:$H$423,"&lt;="&amp;EOMONTH(DATE(YEAR(calc!$E$9),MONTH(calc!$E$9),1),0),'Falls Data Entry'!$A$6:$A$423,D169)</f>
        <v>0</v>
      </c>
      <c r="F169" s="82" t="str">
        <f>IFERROR(E169/($E$133+$E$137+$E$141+$E$145+$E$151+$E$155+$E$159+$E$165+$E$169+$E$173)," ")</f>
        <v xml:space="preserve"> </v>
      </c>
      <c r="G169" s="22">
        <f>COUNTIFS('Falls Data Entry'!$H$6:$H$423,"&lt;&gt;"&amp;" ",'Falls Data Entry'!$M$6:$M$423,"="&amp;"1-4:59am",'Falls Data Entry'!$H$6:$H$423,"&gt;="&amp;DATE(YEAR(VALUE(calc!$E$10)),1,1),'Falls Data Entry'!$H$6:$H$423,"&lt;="&amp;DATE(YEAR(VALUE(calc!$E$10)),12,31),'Falls Data Entry'!$A$6:$A$423,D169)</f>
        <v>0</v>
      </c>
      <c r="H169" s="82" t="str">
        <f>IFERROR(G169/($G$133+$G$137+$G$141+$G$145+$G$151+$G$155+$G$159+$G$165+$G$169+$G$173)," ")</f>
        <v xml:space="preserve"> </v>
      </c>
    </row>
    <row r="170" spans="3:8" ht="17.25" x14ac:dyDescent="0.3">
      <c r="C170" s="83"/>
      <c r="D170" s="84" t="str">
        <f>IF(ISNONTEXT($F$7),"",$F$7)</f>
        <v/>
      </c>
      <c r="E170" s="22">
        <f>COUNTIFS('Falls Data Entry'!$H$6:$H$423,"&lt;&gt;"&amp;" ",'Falls Data Entry'!$M$6:$M$423,"="&amp;"1-4:59am",'Falls Data Entry'!$H$6:$H$423,"&gt;="&amp;DATE(YEAR(calc!$E$9),MONTH(calc!$E$9),1),'Falls Data Entry'!$H$6:$H$423,"&lt;="&amp;EOMONTH(DATE(YEAR(calc!$E$9),MONTH(calc!$E$9),1),0),'Falls Data Entry'!$A$6:$A$423,D170)</f>
        <v>0</v>
      </c>
      <c r="F170" s="82" t="str">
        <f>IFERROR(E170/($E$134+$E$138+$E$142+$E$146+$E$152+$E$156+$E$160+$E$166+$E$170+$E$174)," ")</f>
        <v xml:space="preserve"> </v>
      </c>
      <c r="G170" s="22">
        <f>COUNTIFS('Falls Data Entry'!$H$6:$H$423,"&lt;&gt;"&amp;" ",'Falls Data Entry'!$M$6:$M$423,"="&amp;"1-4:59am",'Falls Data Entry'!$H$6:$H$423,"&gt;="&amp;DATE(YEAR(VALUE(calc!$E$10)),1,1),'Falls Data Entry'!$H$6:$H$423,"&lt;="&amp;DATE(YEAR(VALUE(calc!$E$10)),12,31),'Falls Data Entry'!$A$6:$A$423,D170)</f>
        <v>0</v>
      </c>
      <c r="H170" s="82" t="str">
        <f>IFERROR(G170/($G$134+$G$138+$G$142+$G$146+$G$152+$G$156+$G$160+$G$166+$G$170+$G$174)," ")</f>
        <v xml:space="preserve"> </v>
      </c>
    </row>
    <row r="171" spans="3:8" ht="17.25" x14ac:dyDescent="0.3">
      <c r="C171" s="83"/>
      <c r="D171" s="84" t="str">
        <f>IF(ISNONTEXT($G$7),"",$G$7)</f>
        <v/>
      </c>
      <c r="E171" s="22">
        <f>COUNTIFS('Falls Data Entry'!$H$6:$H$423,"&lt;&gt;"&amp;" ",'Falls Data Entry'!$M$6:$M$423,"="&amp;"1-4:59am",'Falls Data Entry'!$H$6:$H$423,"&gt;="&amp;DATE(YEAR(calc!$E$9),MONTH(calc!$E$9),1),'Falls Data Entry'!$H$6:$H$423,"&lt;="&amp;EOMONTH(DATE(YEAR(calc!$E$9),MONTH(calc!$E$9),1),0),'Falls Data Entry'!$A$6:$A$423,D171)</f>
        <v>0</v>
      </c>
      <c r="F171" s="82">
        <f t="shared" ref="F171" si="10">IFERROR(E171/(E171+E175+E179+E183+E189+E193+E197+E203+E207+E211)," ")</f>
        <v>0</v>
      </c>
      <c r="G171" s="22">
        <f>COUNTIFS('Falls Data Entry'!$H$6:$H$423,"&lt;&gt;"&amp;" ",'Falls Data Entry'!$M$6:$M$423,"="&amp;"1-4:59am",'Falls Data Entry'!$H$6:$H$423,"&gt;="&amp;DATE(YEAR(VALUE(calc!$E$10)),1,1),'Falls Data Entry'!$H$6:$H$423,"&lt;="&amp;DATE(YEAR(VALUE(calc!$E$10)),12,31),'Falls Data Entry'!$A$6:$A$423,D171)</f>
        <v>0</v>
      </c>
      <c r="H171" s="82" t="str">
        <f>IFERROR(G171/($G$135+$G$139+$G$143+$G$147+$G$153+$G$157+$G$161+$G$167+$G$171+$G$175)," ")</f>
        <v xml:space="preserve"> </v>
      </c>
    </row>
    <row r="172" spans="3:8" ht="17.25" x14ac:dyDescent="0.3">
      <c r="C172" s="80" t="s">
        <v>63</v>
      </c>
      <c r="D172" s="81" t="s">
        <v>3</v>
      </c>
      <c r="E172" s="22">
        <f>COUNTIFS('Falls Data Entry'!$H$6:$H$423,"&lt;&gt;"&amp;" ",'Falls Data Entry'!$M$6:$M$423,"="&amp;"5-6:59am",'Falls Data Entry'!$H$6:$H$423,"&gt;="&amp;DATE(YEAR(calc!$E$9),MONTH(calc!$E$9),1),'Falls Data Entry'!$H$6:$H$423,"&lt;="&amp;EOMONTH(DATE(YEAR(calc!$E$9),MONTH(calc!$E$9),1),0))</f>
        <v>0</v>
      </c>
      <c r="F172" s="82" t="str">
        <f>IFERROR(E172/($E$132+$E$136+$E$140+$E$144+$E$150+$E$154+$E$158+$E$164+$E$168+$E$172)," ")</f>
        <v xml:space="preserve"> </v>
      </c>
      <c r="G172" s="22">
        <f>COUNTIFS('Falls Data Entry'!$H$6:$H$423,"&lt;&gt;"&amp;" ",'Falls Data Entry'!$M$6:$M$423,"="&amp;"5-6:59am",'Falls Data Entry'!$H$6:$H$423,"&gt;="&amp;DATE(YEAR(VALUE(calc!$E$10)),1,1),'Falls Data Entry'!$H$6:$H$423,"&lt;="&amp;DATE(YEAR(VALUE(calc!$E$10)),12,31))</f>
        <v>0</v>
      </c>
      <c r="H172" s="82" t="str">
        <f>IFERROR(G172/($G$132+$G$136+$G$140+$G$144+$G$150+$G$154+$G$158+$G$164+$G$168+$G$172)," ")</f>
        <v xml:space="preserve"> </v>
      </c>
    </row>
    <row r="173" spans="3:8" ht="17.25" x14ac:dyDescent="0.3">
      <c r="C173" s="83"/>
      <c r="D173" s="84" t="str">
        <f>IF(ISNONTEXT($E$7),"",$E$7)</f>
        <v>Unit 1</v>
      </c>
      <c r="E173" s="22">
        <f>COUNTIFS('Falls Data Entry'!$H$6:$H$423,"&lt;&gt;"&amp;" ",'Falls Data Entry'!$M$6:$M$423,"="&amp;"5-6:59am",'Falls Data Entry'!$H$6:$H$423,"&gt;="&amp;DATE(YEAR(calc!$E$9),MONTH(calc!$E$9),1),'Falls Data Entry'!$H$6:$H$423,"&lt;="&amp;EOMONTH(DATE(YEAR(calc!$E$9),MONTH(calc!$E$9),1),0),'Falls Data Entry'!$A$6:$A$423,D173)</f>
        <v>0</v>
      </c>
      <c r="F173" s="82" t="str">
        <f>IFERROR(E173/($E$133+$E$137+$E$141+$E$145+$E$151+$E$155+$E$159+$E$165+$E$169+$E$173)," ")</f>
        <v xml:space="preserve"> </v>
      </c>
      <c r="G173" s="22">
        <f>COUNTIFS('Falls Data Entry'!$H$6:$H$423,"&lt;&gt;"&amp;" ",'Falls Data Entry'!$M$6:$M$423,"="&amp;"5-6:59am",'Falls Data Entry'!$H$6:$H$423,"&gt;="&amp;DATE(YEAR(VALUE(calc!$E$10)),1,1),'Falls Data Entry'!$H$6:$H$423,"&lt;="&amp;DATE(YEAR(VALUE(calc!$E$10)),12,31),'Falls Data Entry'!$A$6:$A$423,D173)</f>
        <v>0</v>
      </c>
      <c r="H173" s="82" t="str">
        <f>IFERROR(G173/($G$133+$G$137+$G$141+$G$145+$G$151+$G$155+$G$159+$G$165+$G$169+$G$173)," ")</f>
        <v xml:space="preserve"> </v>
      </c>
    </row>
    <row r="174" spans="3:8" ht="17.25" x14ac:dyDescent="0.3">
      <c r="C174" s="83"/>
      <c r="D174" s="84" t="str">
        <f>IF(ISNONTEXT($F$7),"",$F$7)</f>
        <v/>
      </c>
      <c r="E174" s="22">
        <f>COUNTIFS('Falls Data Entry'!$H$6:$H$423,"&lt;&gt;"&amp;" ",'Falls Data Entry'!$M$6:$M$423,"="&amp;"5-6:59am",'Falls Data Entry'!$H$6:$H$423,"&gt;="&amp;DATE(YEAR(calc!$E$9),MONTH(calc!$E$9),1),'Falls Data Entry'!$H$6:$H$423,"&lt;="&amp;EOMONTH(DATE(YEAR(calc!$E$9),MONTH(calc!$E$9),1),0),'Falls Data Entry'!$A$6:$A$423,D174)</f>
        <v>0</v>
      </c>
      <c r="F174" s="82" t="str">
        <f>IFERROR(E174/($E$134+$E$138+$E$142+$E$146+$E$152+$E$156+$E$160+$E$166+$E$170+$E$174)," ")</f>
        <v xml:space="preserve"> </v>
      </c>
      <c r="G174" s="22">
        <f>COUNTIFS('Falls Data Entry'!$H$6:$H$423,"&lt;&gt;"&amp;" ",'Falls Data Entry'!$M$6:$M$423,"="&amp;"5-6:59am",'Falls Data Entry'!$H$6:$H$423,"&gt;="&amp;DATE(YEAR(VALUE(calc!$E$10)),1,1),'Falls Data Entry'!$H$6:$H$423,"&lt;="&amp;DATE(YEAR(VALUE(calc!$E$10)),12,31),'Falls Data Entry'!$A$6:$A$423,D174)</f>
        <v>0</v>
      </c>
      <c r="H174" s="82" t="str">
        <f>IFERROR(G174/($G$134+$G$138+$G$142+$G$146+$G$152+$G$156+$G$160+$G$166+$G$170+$G$174)," ")</f>
        <v xml:space="preserve"> </v>
      </c>
    </row>
    <row r="175" spans="3:8" ht="17.25" x14ac:dyDescent="0.3">
      <c r="C175" s="94"/>
      <c r="D175" s="84" t="str">
        <f>IF(ISNONTEXT($G$7),"",$G$7)</f>
        <v/>
      </c>
      <c r="E175" s="22">
        <f>COUNTIFS('Falls Data Entry'!$H$6:$H$423,"&lt;&gt;"&amp;" ",'Falls Data Entry'!$M$6:$M$423,"="&amp;"5-6:59am",'Falls Data Entry'!$H$6:$H$423,"&gt;="&amp;DATE(YEAR(calc!$E$9),MONTH(calc!$E$9),1),'Falls Data Entry'!$H$6:$H$423,"&lt;="&amp;EOMONTH(DATE(YEAR(calc!$E$9),MONTH(calc!$E$9),1),0),'Falls Data Entry'!$A$6:$A$423,D175)</f>
        <v>0</v>
      </c>
      <c r="F175" s="82">
        <f t="shared" ref="F175" si="11">IFERROR(E175/(E175+E179+E183+E187+E193+E197+E201+E207+E211+E215)," ")</f>
        <v>0</v>
      </c>
      <c r="G175" s="22">
        <f>COUNTIFS('Falls Data Entry'!$H$6:$H$423,"&lt;&gt;"&amp;" ",'Falls Data Entry'!$M$6:$M$423,"="&amp;"5-6:59am",'Falls Data Entry'!$H$6:$H$423,"&gt;="&amp;DATE(YEAR(VALUE(calc!$E$10)),1,1),'Falls Data Entry'!$H$6:$H$423,"&lt;="&amp;DATE(YEAR(VALUE(calc!$E$10)),12,31),'Falls Data Entry'!$A$6:$A$423,D175)</f>
        <v>0</v>
      </c>
      <c r="H175" s="82" t="str">
        <f>IFERROR(G175/($G$135+$G$139+$G$143+$G$147+$G$153+$G$157+$G$161+$G$167+$G$171+$G$175)," ")</f>
        <v xml:space="preserve"> </v>
      </c>
    </row>
    <row r="178" spans="1:15" ht="34.15" customHeight="1" x14ac:dyDescent="0.3">
      <c r="A178" s="7"/>
      <c r="B178" s="7"/>
      <c r="C178" s="7"/>
      <c r="D178" s="7"/>
      <c r="E178" s="7"/>
      <c r="F178" s="69"/>
      <c r="G178" s="7"/>
      <c r="H178" s="69"/>
      <c r="I178" s="7"/>
      <c r="J178" s="7"/>
      <c r="K178" s="7"/>
      <c r="L178" s="7"/>
      <c r="M178" s="7"/>
      <c r="N178" s="7"/>
      <c r="O178" s="7"/>
    </row>
    <row r="179" spans="1:15" ht="21" thickBot="1" x14ac:dyDescent="0.4">
      <c r="A179" s="7"/>
      <c r="B179" s="7"/>
      <c r="C179" s="76" t="s">
        <v>64</v>
      </c>
      <c r="D179" s="44"/>
      <c r="E179" s="168">
        <f>$E$9</f>
        <v>46174</v>
      </c>
      <c r="F179" s="168"/>
      <c r="G179" s="169" t="s">
        <v>11</v>
      </c>
      <c r="H179" s="169"/>
      <c r="I179" s="7"/>
      <c r="J179" s="7"/>
      <c r="K179" s="7"/>
      <c r="L179" s="7"/>
      <c r="M179" s="7"/>
      <c r="N179" s="7"/>
      <c r="O179" s="7"/>
    </row>
    <row r="180" spans="1:15" ht="58.15" customHeight="1" thickTop="1" thickBot="1" x14ac:dyDescent="0.35">
      <c r="A180" s="7"/>
      <c r="B180" s="7"/>
      <c r="C180" s="87"/>
      <c r="D180" s="7"/>
      <c r="E180" s="88" t="s">
        <v>65</v>
      </c>
      <c r="F180" s="89" t="s">
        <v>66</v>
      </c>
      <c r="G180" s="88" t="s">
        <v>65</v>
      </c>
      <c r="H180" s="89" t="s">
        <v>66</v>
      </c>
      <c r="I180" s="7"/>
      <c r="J180" s="164" t="s">
        <v>67</v>
      </c>
      <c r="K180" s="164"/>
      <c r="L180" s="165" t="s">
        <v>68</v>
      </c>
      <c r="M180" s="166"/>
      <c r="N180" s="166"/>
      <c r="O180" s="167"/>
    </row>
    <row r="181" spans="1:15" ht="18" thickTop="1" x14ac:dyDescent="0.3">
      <c r="A181" s="7">
        <v>1</v>
      </c>
      <c r="B181" s="7"/>
      <c r="C181" s="80" t="s">
        <v>68</v>
      </c>
      <c r="D181" s="81" t="s">
        <v>3</v>
      </c>
      <c r="E181" s="22">
        <f>COUNTIFS('Falls Data Entry'!$H$6:$H$423,"&lt;&gt;"&amp;" ",'Falls Data Entry'!$N$6:$N$423,"="&amp;"In Room",'Falls Data Entry'!$H$6:$H$423,"&gt;="&amp;DATE(YEAR(calc!$E$9),MONTH(calc!$E$9),1),'Falls Data Entry'!$H$6:$H$423,"&lt;="&amp;EOMONTH(DATE(YEAR(calc!$E$9),MONTH(calc!$E$9),1),0))</f>
        <v>0</v>
      </c>
      <c r="F181" s="82" t="str">
        <f>IFERROR(E181/($E$181+$E$185+$E$189+$E$193+$E$197+$E$201+$E$205+$E$209+$E$213+$E$217+$E$221)," ")</f>
        <v xml:space="preserve"> </v>
      </c>
      <c r="G181" s="22">
        <f>COUNTIFS('Falls Data Entry'!$H$6:$H$423,"&lt;&gt;"&amp;" ",'Falls Data Entry'!$N$6:$N$423,"="&amp;"In Room",'Falls Data Entry'!$H$6:$H$423,"&gt;="&amp;DATE(YEAR(VALUE(calc!$E$10)),1,1),'Falls Data Entry'!$H$6:$H$423,"&lt;="&amp;DATE(YEAR(VALUE(calc!$E$10)),12,31))</f>
        <v>0</v>
      </c>
      <c r="H181" s="82" t="str">
        <f>IFERROR(G181/($G$181+$G$185+$G$189+$G$193+$G$197+$G$201+$G$205+$G$209+$G$213+$G$217+$G$221)," ")</f>
        <v xml:space="preserve"> </v>
      </c>
      <c r="I181" s="7"/>
      <c r="J181" s="7"/>
      <c r="K181" s="7"/>
      <c r="L181" s="7">
        <f>_xlfn.XLOOKUP(L180,$C$181:$C$224, $A$181:$A$224,"",0)</f>
        <v>1</v>
      </c>
      <c r="M181" s="7"/>
      <c r="N181" s="7"/>
      <c r="O181" s="7"/>
    </row>
    <row r="182" spans="1:15" ht="17.25" x14ac:dyDescent="0.3">
      <c r="A182" s="7">
        <v>1</v>
      </c>
      <c r="B182" s="7"/>
      <c r="C182" s="83"/>
      <c r="D182" s="84" t="str">
        <f>IF(ISNONTEXT($E$7),"",$E$7)</f>
        <v>Unit 1</v>
      </c>
      <c r="E182" s="22">
        <f>COUNTIFS('Falls Data Entry'!$H$6:$H$423,"&lt;&gt;"&amp;" ",'Falls Data Entry'!$N$6:$N$423,"="&amp;"In Room",'Falls Data Entry'!$H$6:$H$423,"&gt;="&amp;DATE(YEAR(calc!$E$9),MONTH(calc!$E$9),1),'Falls Data Entry'!$H$6:$H$423,"&lt;="&amp;EOMONTH(DATE(YEAR(calc!$E$9),MONTH(calc!$E$9),1),0),'Falls Data Entry'!$A$6:$A$423,D182)</f>
        <v>0</v>
      </c>
      <c r="F182" s="82" t="str">
        <f>IFERROR(E182/($E$182+$E$186+$E$190+$E$194+$E$198+$E$202+$E$206+$E$210+$E$214+$E$218+$E$222)," ")</f>
        <v xml:space="preserve"> </v>
      </c>
      <c r="G182" s="22">
        <f>COUNTIFS('Falls Data Entry'!$H$6:$H$423,"&lt;&gt;"&amp;" ",'Falls Data Entry'!$N$6:$N$423,"="&amp;"In Room",'Falls Data Entry'!$H$6:$H$423,"&gt;="&amp;DATE(YEAR(VALUE(calc!$E$10)),1,1),'Falls Data Entry'!$H$6:$H$423,"&lt;="&amp;DATE(YEAR(VALUE(calc!$E$10)),12,31),'Falls Data Entry'!$A$6:$A$423,D182)</f>
        <v>0</v>
      </c>
      <c r="H182" s="82" t="str">
        <f>IFERROR(G182/($G$182+$G$186+$G$190+$G$194+$G$198+$G$202+$G$206+$G$210+$G$214+$G$218+$G$222)," ")</f>
        <v xml:space="preserve"> </v>
      </c>
      <c r="I182" s="7"/>
      <c r="J182" s="81"/>
      <c r="K182" s="85">
        <f>$E$9</f>
        <v>46174</v>
      </c>
      <c r="L182" s="79" t="s">
        <v>11</v>
      </c>
      <c r="M182" s="7"/>
      <c r="N182" s="7"/>
      <c r="O182" s="7"/>
    </row>
    <row r="183" spans="1:15" ht="17.25" x14ac:dyDescent="0.3">
      <c r="A183" s="7">
        <v>1</v>
      </c>
      <c r="B183" s="7"/>
      <c r="C183" s="83"/>
      <c r="D183" s="84" t="str">
        <f>IF(ISNONTEXT($F$7),"",$F$7)</f>
        <v/>
      </c>
      <c r="E183" s="22">
        <f>COUNTIFS('Falls Data Entry'!$H$6:$H$423,"&lt;&gt;"&amp;" ",'Falls Data Entry'!$N$6:$N$423,"="&amp;"In Room",'Falls Data Entry'!$H$6:$H$423,"&gt;="&amp;DATE(YEAR(calc!$E$9),MONTH(calc!$E$9),1),'Falls Data Entry'!$H$6:$H$423,"&lt;="&amp;EOMONTH(DATE(YEAR(calc!$E$9),MONTH(calc!$E$9),1),0),'Falls Data Entry'!$A$6:$A$423,D183)</f>
        <v>0</v>
      </c>
      <c r="F183" s="82" t="str">
        <f>IFERROR(E183/($E$183+$E$187+$E$191+$E$195+$E$199+$E$203+$E$207+$E$211+$E$215+$E$219+$E$223)," ")</f>
        <v xml:space="preserve"> </v>
      </c>
      <c r="G183" s="22">
        <f>COUNTIFS('Falls Data Entry'!$H$6:$H$423,"&lt;&gt;"&amp;" ",'Falls Data Entry'!$N$6:$N$423,"="&amp;"In Room",'Falls Data Entry'!$H$6:$H$423,"&gt;="&amp;DATE(YEAR(VALUE(calc!$E$10)),1,1),'Falls Data Entry'!$H$6:$H$423,"&lt;="&amp;DATE(YEAR(VALUE(calc!$E$10)),12,31),'Falls Data Entry'!$A$6:$A$423,D183)</f>
        <v>0</v>
      </c>
      <c r="H183" s="82" t="str">
        <f>IFERROR(G183/($G$183+$G$187+$G$191+$G$195+$G$199+$G$203+$G$207+$G$211+$G$215+$G$219+$G$223)," ")</f>
        <v xml:space="preserve"> </v>
      </c>
      <c r="I183" s="7"/>
      <c r="J183" s="84" t="str">
        <f>IF(ISNONTEXT($E$7),"",$E$7)</f>
        <v>Unit 1</v>
      </c>
      <c r="K183" s="86" t="str" cm="1">
        <f t="array" ref="K183">_xlfn.XLOOKUP(J183&amp;$L$181,$D$181:$D$224&amp;$A$181:$A$224,$F$181:$F$224,"",0)</f>
        <v xml:space="preserve"> </v>
      </c>
      <c r="L183" s="86" t="str" cm="1">
        <f t="array" ref="L183">_xlfn.XLOOKUP(J183&amp;$L$181,$D$181:$D$224&amp;$A$181:$A$224,$H$181:$H$224,"",0)</f>
        <v xml:space="preserve"> </v>
      </c>
      <c r="M183" s="7"/>
      <c r="N183" s="7"/>
      <c r="O183" s="7"/>
    </row>
    <row r="184" spans="1:15" ht="17.25" x14ac:dyDescent="0.3">
      <c r="A184" s="7">
        <v>1</v>
      </c>
      <c r="B184" s="7"/>
      <c r="C184" s="83"/>
      <c r="D184" s="84" t="str">
        <f>IF(ISNONTEXT($G$7),"",$G$7)</f>
        <v/>
      </c>
      <c r="E184" s="22">
        <f>COUNTIFS('Falls Data Entry'!$H$6:$H$423,"&lt;&gt;"&amp;" ",'Falls Data Entry'!$N$6:$N$423,"="&amp;"In Room",'Falls Data Entry'!$H$6:$H$423,"&gt;="&amp;DATE(YEAR(calc!$E$9),MONTH(calc!$E$9),1),'Falls Data Entry'!$H$6:$H$423,"&lt;="&amp;EOMONTH(DATE(YEAR(calc!$E$9),MONTH(calc!$E$9),1),0),'Falls Data Entry'!$A$6:$A$423,D184)</f>
        <v>0</v>
      </c>
      <c r="F184" s="82" t="str">
        <f>IFERROR(E184/($E$184+$E$188+$E$192+$E$196+$E$200+$E$204+$E$208+$E$212+$E$216+$E$220+$E$224)," ")</f>
        <v xml:space="preserve"> </v>
      </c>
      <c r="G184" s="22">
        <f>COUNTIFS('Falls Data Entry'!$H$6:$H$423,"&lt;&gt;"&amp;" ",'Falls Data Entry'!$N$6:$N$423,"="&amp;"In Room",'Falls Data Entry'!$H$6:$H$423,"&gt;="&amp;DATE(YEAR(VALUE(calc!$E$10)),1,1),'Falls Data Entry'!$H$6:$H$423,"&lt;="&amp;DATE(YEAR(VALUE(calc!$E$10)),12,31),'Falls Data Entry'!$A$6:$A$423,D184)</f>
        <v>0</v>
      </c>
      <c r="H184" s="82" t="str">
        <f>IFERROR(G184/($G$184+$G$188+$G$192+$G$196+$G$200+$G$204+$G$208+$G$212+$G$216+$G$220+$G$224)," ")</f>
        <v xml:space="preserve"> </v>
      </c>
      <c r="I184" s="7"/>
      <c r="J184" s="84" t="str">
        <f>IF(ISNONTEXT($F$7),"",$F$7)</f>
        <v/>
      </c>
      <c r="K184" s="86" t="str" cm="1">
        <f t="array" ref="K184">_xlfn.XLOOKUP(J184&amp;$L$181,$D$181:$D$224&amp;$A$181:$A$224,$F$181:$F$224,"",0)</f>
        <v xml:space="preserve"> </v>
      </c>
      <c r="L184" s="86" t="str" cm="1">
        <f t="array" ref="L184">_xlfn.XLOOKUP(J184&amp;$L$181,$D$181:$D$224&amp;$A$181:$A$224,$H$181:$H$224,"",0)</f>
        <v xml:space="preserve"> </v>
      </c>
      <c r="M184" s="7"/>
      <c r="N184" s="7"/>
      <c r="O184" s="7"/>
    </row>
    <row r="185" spans="1:15" ht="17.25" x14ac:dyDescent="0.3">
      <c r="A185" s="7">
        <v>2</v>
      </c>
      <c r="B185" s="7"/>
      <c r="C185" s="80" t="s">
        <v>69</v>
      </c>
      <c r="D185" s="81" t="s">
        <v>3</v>
      </c>
      <c r="E185" s="22">
        <f>COUNTIFS('Falls Data Entry'!$H$6:$H$423,"&lt;&gt;"&amp;" ",'Falls Data Entry'!$N$6:$N$423,"="&amp;"Bathroom",'Falls Data Entry'!$H$6:$H$423,"&gt;="&amp;DATE(YEAR(calc!$E$9),MONTH(calc!$E$9),1),'Falls Data Entry'!$H$6:$H$423,"&lt;="&amp;EOMONTH(DATE(YEAR(calc!$E$9),MONTH(calc!$E$9),1),0))</f>
        <v>0</v>
      </c>
      <c r="F185" s="82" t="str">
        <f>IFERROR(E185/($E$181+$E$185+$E$189+$E$193+$E$197+$E$201+$E$205+$E$209+$E$213+$E$217+$E$221)," ")</f>
        <v xml:space="preserve"> </v>
      </c>
      <c r="G185" s="22">
        <f>COUNTIFS('Falls Data Entry'!$H$6:$H$423,"&lt;&gt;"&amp;" ",'Falls Data Entry'!$N$6:$N$423,"="&amp;"Bathroom",'Falls Data Entry'!$H$6:$H$423,"&gt;="&amp;DATE(YEAR(VALUE(calc!$E$10)),1,1),'Falls Data Entry'!$H$6:$H$423,"&lt;="&amp;DATE(YEAR(VALUE(calc!$E$10)),12,31))</f>
        <v>0</v>
      </c>
      <c r="H185" s="82" t="str">
        <f>IFERROR(G185/($G$181+$G$185+$G$189+$G$193+$G$197+$G$201+$G$205+$G$209+$G$213+$G$217+$G$221)," ")</f>
        <v xml:space="preserve"> </v>
      </c>
      <c r="I185" s="7"/>
      <c r="J185" s="84" t="str">
        <f>IF(ISNONTEXT($G$7),"",$G$7)</f>
        <v/>
      </c>
      <c r="K185" s="86" t="str" cm="1">
        <f t="array" ref="K185">_xlfn.XLOOKUP(J185&amp;$L$181,$D$181:$D$224&amp;$A$181:$A$224,$F$181:$F$224,"",0)</f>
        <v xml:space="preserve"> </v>
      </c>
      <c r="L185" s="86" t="str" cm="1">
        <f t="array" ref="L185">_xlfn.XLOOKUP(J185&amp;$L$181,$D$181:$D$224&amp;$A$181:$A$224,$H$181:$H$224,"",0)</f>
        <v xml:space="preserve"> </v>
      </c>
      <c r="M185" s="7"/>
      <c r="N185" s="7"/>
      <c r="O185" s="7"/>
    </row>
    <row r="186" spans="1:15" ht="17.25" x14ac:dyDescent="0.3">
      <c r="A186" s="7">
        <v>2</v>
      </c>
      <c r="B186" s="7"/>
      <c r="C186" s="83"/>
      <c r="D186" s="84" t="str">
        <f>IF(ISNONTEXT($E$7),"",$E$7)</f>
        <v>Unit 1</v>
      </c>
      <c r="E186" s="22">
        <f>COUNTIFS('Falls Data Entry'!$H$6:$H$423,"&lt;&gt;"&amp;" ",'Falls Data Entry'!$N$6:$N$423,"="&amp;"Bathroom",'Falls Data Entry'!$H$6:$H$423,"&gt;="&amp;DATE(YEAR(calc!$E$9),MONTH(calc!$E$9),1),'Falls Data Entry'!$H$6:$H$423,"&lt;="&amp;EOMONTH(DATE(YEAR(calc!$E$9),MONTH(calc!$E$9),1),0),'Falls Data Entry'!$A$6:$A$423,D186)</f>
        <v>0</v>
      </c>
      <c r="F186" s="82" t="str">
        <f>IFERROR(E186/($E$182+$E$186+$E$190+$E$194+$E$198+$E$202+$E$206+$E$210+$E$214+$E$218+$E$222)," ")</f>
        <v xml:space="preserve"> </v>
      </c>
      <c r="G186" s="22">
        <f>COUNTIFS('Falls Data Entry'!$H$6:$H$423,"&lt;&gt;"&amp;" ",'Falls Data Entry'!$N$6:$N$423,"="&amp;"Bathroom",'Falls Data Entry'!$H$6:$H$423,"&gt;="&amp;DATE(YEAR(VALUE(calc!$E$10)),1,1),'Falls Data Entry'!$H$6:$H$423,"&lt;="&amp;DATE(YEAR(VALUE(calc!$E$10)),12,31),'Falls Data Entry'!$A$6:$A$423,D186)</f>
        <v>0</v>
      </c>
      <c r="H186" s="82" t="str">
        <f>IFERROR(G186/($G$182+$G$186+$G$190+$G$194+$G$198+$G$202+$G$206+$G$210+$G$214+$G$218+$G$222)," ")</f>
        <v xml:space="preserve"> </v>
      </c>
      <c r="I186" s="7"/>
      <c r="J186" s="84" t="s">
        <v>3</v>
      </c>
      <c r="K186" s="45" t="str" cm="1">
        <f t="array" ref="K186">_xlfn.XLOOKUP(J186&amp;$L$181,$D$181:$D$224&amp;$A$181:$A$224,$F$181:$F$224,"",0)</f>
        <v xml:space="preserve"> </v>
      </c>
      <c r="L186" s="45" t="str" cm="1">
        <f t="array" ref="L186">_xlfn.XLOOKUP(J186&amp;$L$181,$D$181:$D$224&amp;$A$181:$A$224,$H$181:$H$224,"",0)</f>
        <v xml:space="preserve"> </v>
      </c>
      <c r="M186" s="7"/>
      <c r="N186" s="7"/>
      <c r="O186" s="7"/>
    </row>
    <row r="187" spans="1:15" ht="17.25" x14ac:dyDescent="0.3">
      <c r="A187" s="7">
        <v>2</v>
      </c>
      <c r="B187" s="7"/>
      <c r="C187" s="83"/>
      <c r="D187" s="84" t="str">
        <f>IF(ISNONTEXT($F$7),"",$F$7)</f>
        <v/>
      </c>
      <c r="E187" s="22">
        <f>COUNTIFS('Falls Data Entry'!$H$6:$H$423,"&lt;&gt;"&amp;" ",'Falls Data Entry'!$N$6:$N$423,"="&amp;"Bathroom",'Falls Data Entry'!$H$6:$H$423,"&gt;="&amp;DATE(YEAR(calc!$E$9),MONTH(calc!$E$9),1),'Falls Data Entry'!$H$6:$H$423,"&lt;="&amp;EOMONTH(DATE(YEAR(calc!$E$9),MONTH(calc!$E$9),1),0),'Falls Data Entry'!$A$6:$A$423,D187)</f>
        <v>0</v>
      </c>
      <c r="F187" s="82" t="str">
        <f>IFERROR(E187/($E$183+$E$187+$E$191+$E$195+$E$199+$E$203+$E$207+$E$211+$E$215+$E$219+$E$223)," ")</f>
        <v xml:space="preserve"> </v>
      </c>
      <c r="G187" s="22">
        <f>COUNTIFS('Falls Data Entry'!$H$6:$H$423,"&lt;&gt;"&amp;" ",'Falls Data Entry'!$N$6:$N$423,"="&amp;"Bathroom",'Falls Data Entry'!$H$6:$H$423,"&gt;="&amp;DATE(YEAR(VALUE(calc!$E$10)),1,1),'Falls Data Entry'!$H$6:$H$423,"&lt;="&amp;DATE(YEAR(VALUE(calc!$E$10)),12,31),'Falls Data Entry'!$A$6:$A$423,D187)</f>
        <v>0</v>
      </c>
      <c r="H187" s="82" t="str">
        <f>IFERROR(G187/($G$183+$G$187+$G$191+$G$195+$G$199+$G$203+$G$207+$G$211+$G$215+$G$219+$G$223)," ")</f>
        <v xml:space="preserve"> </v>
      </c>
      <c r="I187" s="7"/>
      <c r="J187" s="7"/>
      <c r="K187" s="7"/>
      <c r="L187" s="7"/>
      <c r="M187" s="7"/>
      <c r="N187" s="7"/>
      <c r="O187" s="7"/>
    </row>
    <row r="188" spans="1:15" ht="17.25" x14ac:dyDescent="0.3">
      <c r="A188" s="7">
        <v>2</v>
      </c>
      <c r="B188" s="7"/>
      <c r="C188" s="83"/>
      <c r="D188" s="84" t="str">
        <f>IF(ISNONTEXT($G$7),"",$G$7)</f>
        <v/>
      </c>
      <c r="E188" s="22">
        <f>COUNTIFS('Falls Data Entry'!$H$6:$H$423,"&lt;&gt;"&amp;" ",'Falls Data Entry'!$N$6:$N$423,"="&amp;"Bathroom",'Falls Data Entry'!$H$6:$H$423,"&gt;="&amp;DATE(YEAR(calc!$E$9),MONTH(calc!$E$9),1),'Falls Data Entry'!$H$6:$H$423,"&lt;="&amp;EOMONTH(DATE(YEAR(calc!$E$9),MONTH(calc!$E$9),1),0),'Falls Data Entry'!$A$6:$A$423,D188)</f>
        <v>0</v>
      </c>
      <c r="F188" s="82" t="str">
        <f>IFERROR(E188/($E$184+$E$188+$E$192+$E$196+$E$200+$E$204+$E$208+$E$212+$E$216+$E$220+$E$224)," ")</f>
        <v xml:space="preserve"> </v>
      </c>
      <c r="G188" s="22">
        <f>COUNTIFS('Falls Data Entry'!$H$6:$H$423,"&lt;&gt;"&amp;" ",'Falls Data Entry'!$N$6:$N$423,"="&amp;"In Room",'Falls Data Entry'!$H$6:$H$423,"&gt;="&amp;DATE(YEAR(VALUE(calc!$E$10)),1,1),'Falls Data Entry'!$H$6:$H$423,"&lt;="&amp;DATE(YEAR(VALUE(calc!$E$10)),12,31),'Falls Data Entry'!$A$6:$A$423,D188)</f>
        <v>0</v>
      </c>
      <c r="H188" s="82" t="str">
        <f>IFERROR(G188/($G$184+$G$188+$G$192+$G$196+$G$200+$G$204+$G$208+$G$212+$G$216+$G$220+$G$224)," ")</f>
        <v xml:space="preserve"> </v>
      </c>
      <c r="I188" s="7"/>
      <c r="J188" s="7"/>
      <c r="K188" s="7"/>
      <c r="L188" s="7"/>
      <c r="M188" s="7"/>
      <c r="N188" s="7"/>
      <c r="O188" s="7"/>
    </row>
    <row r="189" spans="1:15" ht="17.25" x14ac:dyDescent="0.3">
      <c r="A189" s="7">
        <v>3</v>
      </c>
      <c r="B189" s="7"/>
      <c r="C189" s="80" t="s">
        <v>70</v>
      </c>
      <c r="D189" s="81" t="s">
        <v>3</v>
      </c>
      <c r="E189" s="22">
        <f>COUNTIFS('Falls Data Entry'!$H$6:$H$423,"&lt;&gt;"&amp;" ",'Falls Data Entry'!$N$6:$N$423,"="&amp;"Hallway",'Falls Data Entry'!$H$6:$H$423,"&gt;="&amp;DATE(YEAR(calc!$E$9),MONTH(calc!$E$9),1),'Falls Data Entry'!$H$6:$H$423,"&lt;="&amp;EOMONTH(DATE(YEAR(calc!$E$9),MONTH(calc!$E$9),1),0))</f>
        <v>0</v>
      </c>
      <c r="F189" s="82" t="str">
        <f>IFERROR(E189/($E$181+$E$185+$E$189+$E$193+$E$197+$E$201+$E$205+$E$209+$E$213+$E$217+$E$221)," ")</f>
        <v xml:space="preserve"> </v>
      </c>
      <c r="G189" s="22">
        <f>COUNTIFS('Falls Data Entry'!$H$6:$H$423,"&lt;&gt;"&amp;" ",'Falls Data Entry'!$N$6:$N$423,"="&amp;"Hallway",'Falls Data Entry'!$H$6:$H$423,"&gt;="&amp;DATE(YEAR(VALUE(calc!$E$10)),1,1),'Falls Data Entry'!$H$6:$H$423,"&lt;="&amp;DATE(YEAR(VALUE(calc!$E$10)),12,31))</f>
        <v>0</v>
      </c>
      <c r="H189" s="82" t="str">
        <f>IFERROR(G189/($G$181+$G$185+$G$189+$G$193+$G$197+$G$201+$G$205+$G$209+$G$213+$G$217+$G$221)," ")</f>
        <v xml:space="preserve"> </v>
      </c>
      <c r="I189" s="7"/>
      <c r="J189" s="7"/>
      <c r="K189" s="7"/>
      <c r="L189" s="7"/>
      <c r="M189" s="7"/>
      <c r="N189" s="7"/>
      <c r="O189" s="7"/>
    </row>
    <row r="190" spans="1:15" ht="17.25" x14ac:dyDescent="0.3">
      <c r="A190" s="7">
        <v>3</v>
      </c>
      <c r="B190" s="7"/>
      <c r="C190" s="83"/>
      <c r="D190" s="84" t="str">
        <f>IF(ISNONTEXT($E$7),"",$E$7)</f>
        <v>Unit 1</v>
      </c>
      <c r="E190" s="22">
        <f>COUNTIFS('Falls Data Entry'!$H$6:$H$423,"&lt;&gt;"&amp;" ",'Falls Data Entry'!$N$6:$N$423,"="&amp;"Hallway",'Falls Data Entry'!$H$6:$H$423,"&gt;="&amp;DATE(YEAR(calc!$E$9),MONTH(calc!$E$9),1),'Falls Data Entry'!$H$6:$H$423,"&lt;="&amp;EOMONTH(DATE(YEAR(calc!$E$9),MONTH(calc!$E$9),1),0),'Falls Data Entry'!$A$6:$A$423,D190)</f>
        <v>0</v>
      </c>
      <c r="F190" s="82" t="str">
        <f>IFERROR(E190/($E$182+$E$186+$E$190+$E$194+$E$198+$E$202+$E$206+$E$210+$E$214+$E$218+$E$222)," ")</f>
        <v xml:space="preserve"> </v>
      </c>
      <c r="G190" s="22">
        <f>COUNTIFS('Falls Data Entry'!$H$6:$H$423,"&lt;&gt;"&amp;" ",'Falls Data Entry'!$N$6:$N$423,"="&amp;"Hallway",'Falls Data Entry'!$H$6:$H$423,"&gt;="&amp;DATE(YEAR(VALUE(calc!$E$10)),1,1),'Falls Data Entry'!$H$6:$H$423,"&lt;="&amp;DATE(YEAR(VALUE(calc!$E$10)),12,31),'Falls Data Entry'!$A$6:$A$423,D190)</f>
        <v>0</v>
      </c>
      <c r="H190" s="82" t="str">
        <f>IFERROR(G190/($G$182+$G$186+$G$190+$G$194+$G$198+$G$202+$G$206+$G$210+$G$214+$G$218+$G$222)," ")</f>
        <v xml:space="preserve"> </v>
      </c>
      <c r="I190" s="7"/>
      <c r="J190" s="7"/>
      <c r="K190" s="7"/>
      <c r="L190" s="7"/>
      <c r="M190" s="7"/>
      <c r="N190" s="7"/>
      <c r="O190" s="7"/>
    </row>
    <row r="191" spans="1:15" ht="17.25" x14ac:dyDescent="0.3">
      <c r="A191" s="7">
        <v>3</v>
      </c>
      <c r="B191" s="7"/>
      <c r="C191" s="83"/>
      <c r="D191" s="84" t="str">
        <f>IF(ISNONTEXT($F$7),"",$F$7)</f>
        <v/>
      </c>
      <c r="E191" s="22">
        <f>COUNTIFS('Falls Data Entry'!$H$6:$H$423,"&lt;&gt;"&amp;" ",'Falls Data Entry'!$N$6:$N$423,"="&amp;"Hallway",'Falls Data Entry'!$H$6:$H$423,"&gt;="&amp;DATE(YEAR(calc!$E$9),MONTH(calc!$E$9),1),'Falls Data Entry'!$H$6:$H$423,"&lt;="&amp;EOMONTH(DATE(YEAR(calc!$E$9),MONTH(calc!$E$9),1),0),'Falls Data Entry'!$A$6:$A$423,D191)</f>
        <v>0</v>
      </c>
      <c r="F191" s="82" t="str">
        <f>IFERROR(E191/($E$183+$E$187+$E$191+$E$195+$E$199+$E$203+$E$207+$E$211+$E$215+$E$219+$E$223)," ")</f>
        <v xml:space="preserve"> </v>
      </c>
      <c r="G191" s="22">
        <f>COUNTIFS('Falls Data Entry'!$H$6:$H$423,"&lt;&gt;"&amp;" ",'Falls Data Entry'!$N$6:$N$423,"="&amp;"Hallway",'Falls Data Entry'!$H$6:$H$423,"&gt;="&amp;DATE(YEAR(VALUE(calc!$E$10)),1,1),'Falls Data Entry'!$H$6:$H$423,"&lt;="&amp;DATE(YEAR(VALUE(calc!$E$10)),12,31),'Falls Data Entry'!$A$6:$A$423,D191)</f>
        <v>0</v>
      </c>
      <c r="H191" s="82" t="str">
        <f>IFERROR(G191/($G$183+$G$187+$G$191+$G$195+$G$199+$G$203+$G$207+$G$211+$G$215+$G$219+$G$223)," ")</f>
        <v xml:space="preserve"> </v>
      </c>
      <c r="I191" s="7"/>
      <c r="J191" s="7"/>
      <c r="K191" s="7"/>
      <c r="L191" s="7"/>
      <c r="M191" s="7"/>
      <c r="N191" s="7"/>
      <c r="O191" s="7"/>
    </row>
    <row r="192" spans="1:15" ht="17.25" x14ac:dyDescent="0.3">
      <c r="A192" s="7">
        <v>3</v>
      </c>
      <c r="B192" s="7"/>
      <c r="C192" s="83"/>
      <c r="D192" s="84" t="str">
        <f>IF(ISNONTEXT($G$7),"",$G$7)</f>
        <v/>
      </c>
      <c r="E192" s="22">
        <f>COUNTIFS('Falls Data Entry'!$H$6:$H$423,"&lt;&gt;"&amp;" ",'Falls Data Entry'!$N$6:$N$423,"="&amp;"Hallway",'Falls Data Entry'!$H$6:$H$423,"&gt;="&amp;DATE(YEAR(calc!$E$9),MONTH(calc!$E$9),1),'Falls Data Entry'!$H$6:$H$423,"&lt;="&amp;EOMONTH(DATE(YEAR(calc!$E$9),MONTH(calc!$E$9),1),0),'Falls Data Entry'!$A$6:$A$423,D192)</f>
        <v>0</v>
      </c>
      <c r="F192" s="82" t="str">
        <f>IFERROR(E192/($E$184+$E$188+$E$192+$E$196+$E$200+$E$204+$E$208+$E$212+$E$216+$E$220+$E$224)," ")</f>
        <v xml:space="preserve"> </v>
      </c>
      <c r="G192" s="22">
        <f>COUNTIFS('Falls Data Entry'!$H$6:$H$423,"&lt;&gt;"&amp;" ",'Falls Data Entry'!$N$6:$N$423,"="&amp;"Hallway",'Falls Data Entry'!$H$6:$H$423,"&gt;="&amp;DATE(YEAR(VALUE(calc!$E$10)),1,1),'Falls Data Entry'!$H$6:$H$423,"&lt;="&amp;DATE(YEAR(VALUE(calc!$E$10)),12,31),'Falls Data Entry'!$A$6:$A$423,D192)</f>
        <v>0</v>
      </c>
      <c r="H192" s="82" t="str">
        <f>IFERROR(G192/($G$184+$G$188+$G$192+$G$196+$G$200+$G$204+$G$208+$G$212+$G$216+$G$220+$G$224)," ")</f>
        <v xml:space="preserve"> </v>
      </c>
      <c r="I192" s="7"/>
      <c r="J192" s="7"/>
      <c r="K192" s="7"/>
      <c r="L192" s="7"/>
      <c r="M192" s="7"/>
      <c r="N192" s="7"/>
      <c r="O192" s="7"/>
    </row>
    <row r="193" spans="1:8" ht="17.25" x14ac:dyDescent="0.3">
      <c r="A193" s="7">
        <v>4</v>
      </c>
      <c r="B193" s="7"/>
      <c r="C193" s="80" t="s">
        <v>71</v>
      </c>
      <c r="D193" s="81" t="s">
        <v>3</v>
      </c>
      <c r="E193" s="22">
        <f>COUNTIFS('Falls Data Entry'!$H$6:$H$423,"&lt;&gt;"&amp;" ",'Falls Data Entry'!$N$6:$N$423,"="&amp;"Dining Room",'Falls Data Entry'!$H$6:$H$423,"&gt;="&amp;DATE(YEAR(calc!$E$9),MONTH(calc!$E$9),1),'Falls Data Entry'!$H$6:$H$423,"&lt;="&amp;EOMONTH(DATE(YEAR(calc!$E$9),MONTH(calc!$E$9),1),0))</f>
        <v>0</v>
      </c>
      <c r="F193" s="82" t="str">
        <f>IFERROR(E193/($E$181+$E$185+$E$189+$E$193+$E$197+$E$201+$E$205+$E$209+$E$213+$E$217+$E$221)," ")</f>
        <v xml:space="preserve"> </v>
      </c>
      <c r="G193" s="22">
        <f>COUNTIFS('Falls Data Entry'!$H$6:$H$423,"&lt;&gt;"&amp;" ",'Falls Data Entry'!$N$6:$N$423,"="&amp;"Dining Room",'Falls Data Entry'!$H$6:$H$423,"&gt;="&amp;DATE(YEAR(VALUE(calc!$E$10)),1,1),'Falls Data Entry'!$H$6:$H$423,"&lt;="&amp;DATE(YEAR(VALUE(calc!$E$10)),12,31))</f>
        <v>0</v>
      </c>
      <c r="H193" s="82" t="str">
        <f>IFERROR(G193/($G$181+$G$185+$G$189+$G$193+$G$197+$G$201+$G$205+$G$209+$G$213+$G$217+$G$221)," ")</f>
        <v xml:space="preserve"> </v>
      </c>
    </row>
    <row r="194" spans="1:8" ht="17.25" x14ac:dyDescent="0.3">
      <c r="A194" s="7">
        <v>4</v>
      </c>
      <c r="B194" s="7"/>
      <c r="C194" s="87"/>
      <c r="D194" s="84" t="str">
        <f>IF(ISNONTEXT($E$7),"",$E$7)</f>
        <v>Unit 1</v>
      </c>
      <c r="E194" s="22">
        <f>COUNTIFS('Falls Data Entry'!$H$6:$H$423,"&lt;&gt;"&amp;" ",'Falls Data Entry'!$N$6:$N$423,"="&amp;"Dining Room",'Falls Data Entry'!$H$6:$H$423,"&gt;="&amp;DATE(YEAR(calc!$E$9),MONTH(calc!$E$9),1),'Falls Data Entry'!$H$6:$H$423,"&lt;="&amp;EOMONTH(DATE(YEAR(calc!$E$9),MONTH(calc!$E$9),1),0),'Falls Data Entry'!$A$6:$A$423,D194)</f>
        <v>0</v>
      </c>
      <c r="F194" s="82" t="str">
        <f>IFERROR(E194/($E$182+$E$186+$E$190+$E$194+$E$198+$E$202+$E$206+$E$210+$E$214+$E$218+$E$222)," ")</f>
        <v xml:space="preserve"> </v>
      </c>
      <c r="G194" s="22">
        <f>COUNTIFS('Falls Data Entry'!$H$6:$H$423,"&lt;&gt;"&amp;" ",'Falls Data Entry'!$N$6:$N$423,"="&amp;"Dining Room",'Falls Data Entry'!$H$6:$H$423,"&gt;="&amp;DATE(YEAR(VALUE(calc!$E$10)),1,1),'Falls Data Entry'!$H$6:$H$423,"&lt;="&amp;DATE(YEAR(VALUE(calc!$E$10)),12,31),'Falls Data Entry'!$A$6:$A$423,D194)</f>
        <v>0</v>
      </c>
      <c r="H194" s="82" t="str">
        <f>IFERROR(G194/($G$182+$G$186+$G$190+$G$194+$G$198+$G$202+$G$206+$G$210+$G$214+$G$218+$G$222)," ")</f>
        <v xml:space="preserve"> </v>
      </c>
    </row>
    <row r="195" spans="1:8" ht="17.25" x14ac:dyDescent="0.3">
      <c r="A195" s="7">
        <v>4</v>
      </c>
      <c r="B195" s="7"/>
      <c r="C195" s="87"/>
      <c r="D195" s="84" t="str">
        <f>IF(ISNONTEXT($F$7),"",$F$7)</f>
        <v/>
      </c>
      <c r="E195" s="22">
        <f>COUNTIFS('Falls Data Entry'!$H$6:$H$423,"&lt;&gt;"&amp;" ",'Falls Data Entry'!$N$6:$N$423,"="&amp;"Dining Room",'Falls Data Entry'!$H$6:$H$423,"&gt;="&amp;DATE(YEAR(calc!$E$9),MONTH(calc!$E$9),1),'Falls Data Entry'!$H$6:$H$423,"&lt;="&amp;EOMONTH(DATE(YEAR(calc!$E$9),MONTH(calc!$E$9),1),0),'Falls Data Entry'!$A$6:$A$423,D195)</f>
        <v>0</v>
      </c>
      <c r="F195" s="82" t="str">
        <f>IFERROR(E195/($E$183+$E$187+$E$191+$E$195+$E$199+$E$203+$E$207+$E$211+$E$215+$E$219+$E$223)," ")</f>
        <v xml:space="preserve"> </v>
      </c>
      <c r="G195" s="22">
        <f>COUNTIFS('Falls Data Entry'!$H$6:$H$423,"&lt;&gt;"&amp;" ",'Falls Data Entry'!$N$6:$N$423,"="&amp;"Dining Room",'Falls Data Entry'!$H$6:$H$423,"&gt;="&amp;DATE(YEAR(VALUE(calc!$E$10)),1,1),'Falls Data Entry'!$H$6:$H$423,"&lt;="&amp;DATE(YEAR(VALUE(calc!$E$10)),12,31),'Falls Data Entry'!$A$6:$A$423,D195)</f>
        <v>0</v>
      </c>
      <c r="H195" s="82" t="str">
        <f>IFERROR(G195/($G$183+$G$187+$G$191+$G$195+$G$199+$G$203+$G$207+$G$211+$G$215+$G$219+$G$223)," ")</f>
        <v xml:space="preserve"> </v>
      </c>
    </row>
    <row r="196" spans="1:8" ht="17.25" x14ac:dyDescent="0.3">
      <c r="A196" s="7">
        <v>4</v>
      </c>
      <c r="B196" s="7"/>
      <c r="C196" s="87"/>
      <c r="D196" s="84" t="str">
        <f>IF(ISNONTEXT($G$7),"",$G$7)</f>
        <v/>
      </c>
      <c r="E196" s="22">
        <f>COUNTIFS('Falls Data Entry'!$H$6:$H$423,"&lt;&gt;"&amp;" ",'Falls Data Entry'!$N$6:$N$423,"="&amp;"Dining Room",'Falls Data Entry'!$H$6:$H$423,"&gt;="&amp;DATE(YEAR(calc!$E$9),MONTH(calc!$E$9),1),'Falls Data Entry'!$H$6:$H$423,"&lt;="&amp;EOMONTH(DATE(YEAR(calc!$E$9),MONTH(calc!$E$9),1),0),'Falls Data Entry'!$A$6:$A$423,D196)</f>
        <v>0</v>
      </c>
      <c r="F196" s="82" t="str">
        <f>IFERROR(E196/($E$184+$E$188+$E$192+$E$196+$E$200+$E$204+$E$208+$E$212+$E$216+$E$220+$E$224)," ")</f>
        <v xml:space="preserve"> </v>
      </c>
      <c r="G196" s="22">
        <f>COUNTIFS('Falls Data Entry'!$H$6:$H$423,"&lt;&gt;"&amp;" ",'Falls Data Entry'!$N$6:$N$423,"="&amp;"Dining Room",'Falls Data Entry'!$H$6:$H$423,"&gt;="&amp;DATE(YEAR(VALUE(calc!$E$10)),1,1),'Falls Data Entry'!$H$6:$H$423,"&lt;="&amp;DATE(YEAR(VALUE(calc!$E$10)),12,31),'Falls Data Entry'!$A$6:$A$423,D196)</f>
        <v>0</v>
      </c>
      <c r="H196" s="82" t="str">
        <f>IFERROR(G196/($G$184+$G$188+$G$192+$G$196+$G$200+$G$204+$G$208+$G$212+$G$216+$G$220+$G$224)," ")</f>
        <v xml:space="preserve"> </v>
      </c>
    </row>
    <row r="197" spans="1:8" ht="17.25" x14ac:dyDescent="0.3">
      <c r="A197" s="7">
        <v>4.5</v>
      </c>
      <c r="B197" s="7"/>
      <c r="C197" s="80" t="s">
        <v>72</v>
      </c>
      <c r="D197" s="81" t="s">
        <v>3</v>
      </c>
      <c r="E197" s="22">
        <f>COUNTIFS('Falls Data Entry'!$H$6:$H$423,"&lt;&gt;"&amp;" ",'Falls Data Entry'!$N$6:$N$423,"="&amp;"Activities",'Falls Data Entry'!$H$6:$H$423,"&gt;="&amp;DATE(YEAR(calc!$E$9),MONTH(calc!$E$9),1),'Falls Data Entry'!$H$6:$H$423,"&lt;="&amp;EOMONTH(DATE(YEAR(calc!$E$9),MONTH(calc!$E$9),1),0))</f>
        <v>0</v>
      </c>
      <c r="F197" s="82" t="str">
        <f>IFERROR(E197/($E$181+$E$185+$E$189+$E$193+$E$197+$E$201+$E$205+$E$209+$E$213+$E$217+$E$221)," ")</f>
        <v xml:space="preserve"> </v>
      </c>
      <c r="G197" s="22">
        <f>COUNTIFS('Falls Data Entry'!$H$6:$H$423,"&lt;&gt;"&amp;" ",'Falls Data Entry'!$N$6:$N$423,"="&amp;"Activities",'Falls Data Entry'!$H$6:$H$423,"&gt;="&amp;DATE(YEAR(VALUE(calc!$E$10)),1,1),'Falls Data Entry'!$H$6:$H$423,"&lt;="&amp;DATE(YEAR(VALUE(calc!$E$10)),12,31))</f>
        <v>0</v>
      </c>
      <c r="H197" s="82" t="str">
        <f>IFERROR(G197/($G$181+$G$185+$G$189+$G$193+$G$197+$G$201+$G$205+$G$209+$G$213+$G$217+$G$221)," ")</f>
        <v xml:space="preserve"> </v>
      </c>
    </row>
    <row r="198" spans="1:8" ht="17.25" x14ac:dyDescent="0.3">
      <c r="A198" s="7">
        <v>4.7352941176470598</v>
      </c>
      <c r="B198" s="7"/>
      <c r="C198" s="83"/>
      <c r="D198" s="84" t="str">
        <f>IF(ISNONTEXT($E$7),"",$E$7)</f>
        <v>Unit 1</v>
      </c>
      <c r="E198" s="22">
        <f>COUNTIFS('Falls Data Entry'!$H$6:$H$423,"&lt;&gt;"&amp;" ",'Falls Data Entry'!$N$6:$N$423,"="&amp;"Activities",'Falls Data Entry'!$H$6:$H$423,"&gt;="&amp;DATE(YEAR(calc!$E$9),MONTH(calc!$E$9),1),'Falls Data Entry'!$H$6:$H$423,"&lt;="&amp;EOMONTH(DATE(YEAR(calc!$E$9),MONTH(calc!$E$9),1),0),'Falls Data Entry'!$A$6:$A$423,D198)</f>
        <v>0</v>
      </c>
      <c r="F198" s="82" t="str">
        <f>IFERROR(E198/($E$182+$E$186+$E$190+$E$194+$E$198+$E$202+$E$206+$E$210+$E$214+$E$218+$E$222)," ")</f>
        <v xml:space="preserve"> </v>
      </c>
      <c r="G198" s="22">
        <f>COUNTIFS('Falls Data Entry'!$H$6:$H$423,"&lt;&gt;"&amp;" ",'Falls Data Entry'!$N$6:$N$423,"="&amp;"Activities",'Falls Data Entry'!$H$6:$H$423,"&gt;="&amp;DATE(YEAR(VALUE(calc!$E$10)),1,1),'Falls Data Entry'!$H$6:$H$423,"&lt;="&amp;DATE(YEAR(VALUE(calc!$E$10)),12,31),'Falls Data Entry'!$A$6:$A$423,D198)</f>
        <v>0</v>
      </c>
      <c r="H198" s="82" t="str">
        <f>IFERROR(G198/($G$182+$G$186+$G$190+$G$194+$G$198+$G$202+$G$206+$G$210+$G$214+$G$218+$G$222)," ")</f>
        <v xml:space="preserve"> </v>
      </c>
    </row>
    <row r="199" spans="1:8" ht="17.25" x14ac:dyDescent="0.3">
      <c r="A199" s="7">
        <v>4.9705882352941204</v>
      </c>
      <c r="B199" s="7"/>
      <c r="C199" s="83"/>
      <c r="D199" s="84" t="str">
        <f>IF(ISNONTEXT($F$7),"",$F$7)</f>
        <v/>
      </c>
      <c r="E199" s="22">
        <f>COUNTIFS('Falls Data Entry'!$H$6:$H$423,"&lt;&gt;"&amp;" ",'Falls Data Entry'!$N$6:$N$423,"="&amp;"Activities",'Falls Data Entry'!$H$6:$H$423,"&gt;="&amp;DATE(YEAR(calc!$E$9),MONTH(calc!$E$9),1),'Falls Data Entry'!$H$6:$H$423,"&lt;="&amp;EOMONTH(DATE(YEAR(calc!$E$9),MONTH(calc!$E$9),1),0),'Falls Data Entry'!$A$6:$A$423,D199)</f>
        <v>0</v>
      </c>
      <c r="F199" s="82" t="str">
        <f>IFERROR(E199/($E$183+$E$187+$E$191+$E$195+$E$199+$E$203+$E$207+$E$211+$E$215+$E$219+$E$223)," ")</f>
        <v xml:space="preserve"> </v>
      </c>
      <c r="G199" s="22">
        <f>COUNTIFS('Falls Data Entry'!$H$6:$H$423,"&lt;&gt;"&amp;" ",'Falls Data Entry'!$N$6:$N$423,"="&amp;"Activities",'Falls Data Entry'!$H$6:$H$423,"&gt;="&amp;DATE(YEAR(VALUE(calc!$E$10)),1,1),'Falls Data Entry'!$H$6:$H$423,"&lt;="&amp;DATE(YEAR(VALUE(calc!$E$10)),12,31),'Falls Data Entry'!$A$6:$A$423,D199)</f>
        <v>0</v>
      </c>
      <c r="H199" s="82" t="str">
        <f>IFERROR(G199/($G$183+$G$187+$G$191+$G$195+$G$199+$G$203+$G$207+$G$211+$G$215+$G$219+$G$223)," ")</f>
        <v xml:space="preserve"> </v>
      </c>
    </row>
    <row r="200" spans="1:8" ht="17.25" x14ac:dyDescent="0.3">
      <c r="A200" s="7">
        <v>5.2058823529411802</v>
      </c>
      <c r="B200" s="7"/>
      <c r="C200" s="83"/>
      <c r="D200" s="84" t="str">
        <f>IF(ISNONTEXT($G$7),"",$G$7)</f>
        <v/>
      </c>
      <c r="E200" s="22">
        <f>COUNTIFS('Falls Data Entry'!$H$6:$H$423,"&lt;&gt;"&amp;" ",'Falls Data Entry'!$N$6:$N$423,"="&amp;"Activities",'Falls Data Entry'!$H$6:$H$423,"&gt;="&amp;DATE(YEAR(calc!$E$9),MONTH(calc!$E$9),1),'Falls Data Entry'!$H$6:$H$423,"&lt;="&amp;EOMONTH(DATE(YEAR(calc!$E$9),MONTH(calc!$E$9),1),0),'Falls Data Entry'!$A$6:$A$423,D200)</f>
        <v>0</v>
      </c>
      <c r="F200" s="82" t="str">
        <f>IFERROR(E200/($E$184+$E$188+$E$192+$E$196+$E$200+$E$204+$E$208+$E$212+$E$216+$E$220+$E$224)," ")</f>
        <v xml:space="preserve"> </v>
      </c>
      <c r="G200" s="22">
        <f>COUNTIFS('Falls Data Entry'!$H$6:$H$423,"&lt;&gt;"&amp;" ",'Falls Data Entry'!$N$6:$N$423,"="&amp;"Activities",'Falls Data Entry'!$H$6:$H$423,"&gt;="&amp;DATE(YEAR(VALUE(calc!$E$10)),1,1),'Falls Data Entry'!$H$6:$H$423,"&lt;="&amp;DATE(YEAR(VALUE(calc!$E$10)),12,31),'Falls Data Entry'!$A$6:$A$423,D200)</f>
        <v>0</v>
      </c>
      <c r="H200" s="82" t="str">
        <f>IFERROR(G200/($G$184+$G$188+$G$192+$G$196+$G$200+$G$204+$G$208+$G$212+$G$216+$G$220+$G$224)," ")</f>
        <v xml:space="preserve"> </v>
      </c>
    </row>
    <row r="201" spans="1:8" ht="17.25" x14ac:dyDescent="0.3">
      <c r="A201" s="7">
        <v>6</v>
      </c>
      <c r="B201" s="7"/>
      <c r="C201" s="80" t="s">
        <v>73</v>
      </c>
      <c r="D201" s="81" t="s">
        <v>3</v>
      </c>
      <c r="E201" s="22">
        <f>COUNTIFS('Falls Data Entry'!$H$6:$H$423,"&lt;&gt;"&amp;" ",'Falls Data Entry'!$N$6:$N$423,"="&amp;"Therapy",'Falls Data Entry'!$H$6:$H$423,"&gt;="&amp;DATE(YEAR(calc!$E$9),MONTH(calc!$E$9),1),'Falls Data Entry'!$H$6:$H$423,"&lt;="&amp;EOMONTH(DATE(YEAR(calc!$E$9),MONTH(calc!$E$9),1),0))</f>
        <v>0</v>
      </c>
      <c r="F201" s="82" t="str">
        <f>IFERROR(E201/($E$181+$E$185+$E$189+$E$193+$E$197+$E$201+$E$205+$E$209+$E$213+$E$217+$E$221)," ")</f>
        <v xml:space="preserve"> </v>
      </c>
      <c r="G201" s="22">
        <f>COUNTIFS('Falls Data Entry'!$H$6:$H$423,"&lt;&gt;"&amp;" ",'Falls Data Entry'!$N$6:$N$423,"="&amp;"Therapy",'Falls Data Entry'!$H$6:$H$423,"&gt;="&amp;DATE(YEAR(VALUE(calc!$E$10)),1,1),'Falls Data Entry'!$H$6:$H$423,"&lt;="&amp;DATE(YEAR(VALUE(calc!$E$10)),12,31))</f>
        <v>0</v>
      </c>
      <c r="H201" s="82" t="str">
        <f>IFERROR(G201/($G$181+$G$185+$G$189+$G$193+$G$197+$G$201+$G$205+$G$209+$G$213+$G$217+$G$221)," ")</f>
        <v xml:space="preserve"> </v>
      </c>
    </row>
    <row r="202" spans="1:8" ht="17.25" x14ac:dyDescent="0.3">
      <c r="A202" s="7">
        <v>5.6764705882352997</v>
      </c>
      <c r="B202" s="7"/>
      <c r="C202" s="83"/>
      <c r="D202" s="84" t="str">
        <f>IF(ISNONTEXT($E$7),"",$E$7)</f>
        <v>Unit 1</v>
      </c>
      <c r="E202" s="22">
        <f>COUNTIFS('Falls Data Entry'!$H$6:$H$423,"&lt;&gt;"&amp;" ",'Falls Data Entry'!$N$6:$N$423,"="&amp;"Therapy",'Falls Data Entry'!$H$6:$H$423,"&gt;="&amp;DATE(YEAR(calc!$E$9),MONTH(calc!$E$9),1),'Falls Data Entry'!$H$6:$H$423,"&lt;="&amp;EOMONTH(DATE(YEAR(calc!$E$9),MONTH(calc!$E$9),1),0),'Falls Data Entry'!$A$6:$A$423,D202)</f>
        <v>0</v>
      </c>
      <c r="F202" s="82" t="str">
        <f>IFERROR(E202/($E$182+$E$186+$E$190+$E$194+$E$198+$E$202+$E$206+$E$210+$E$214+$E$218+$E$222)," ")</f>
        <v xml:space="preserve"> </v>
      </c>
      <c r="G202" s="22">
        <f>COUNTIFS('Falls Data Entry'!$H$6:$H$423,"&lt;&gt;"&amp;" ",'Falls Data Entry'!$N$6:$N$423,"="&amp;"Therapy",'Falls Data Entry'!$H$6:$H$423,"&gt;="&amp;DATE(YEAR(VALUE(calc!$E$10)),1,1),'Falls Data Entry'!$H$6:$H$423,"&lt;="&amp;DATE(YEAR(VALUE(calc!$E$10)),12,31),'Falls Data Entry'!$A$6:$A$423,D202)</f>
        <v>0</v>
      </c>
      <c r="H202" s="82" t="str">
        <f>IFERROR(G202/($G$182+$G$186+$G$190+$G$194+$G$198+$G$202+$G$206+$G$210+$G$214+$G$218+$G$222)," ")</f>
        <v xml:space="preserve"> </v>
      </c>
    </row>
    <row r="203" spans="1:8" ht="17.25" x14ac:dyDescent="0.3">
      <c r="A203" s="7">
        <v>5.9117647058823497</v>
      </c>
      <c r="B203" s="7"/>
      <c r="C203" s="83"/>
      <c r="D203" s="84" t="str">
        <f>IF(ISNONTEXT($F$7),"",$F$7)</f>
        <v/>
      </c>
      <c r="E203" s="22">
        <f>COUNTIFS('Falls Data Entry'!$H$6:$H$423,"&lt;&gt;"&amp;" ",'Falls Data Entry'!$N$6:$N$423,"="&amp;"Therapy",'Falls Data Entry'!$H$6:$H$423,"&gt;="&amp;DATE(YEAR(calc!$E$9),MONTH(calc!$E$9),1),'Falls Data Entry'!$H$6:$H$423,"&lt;="&amp;EOMONTH(DATE(YEAR(calc!$E$9),MONTH(calc!$E$9),1),0),'Falls Data Entry'!$A$6:$A$423,D203)</f>
        <v>0</v>
      </c>
      <c r="F203" s="82" t="str">
        <f>IFERROR(E203/($E$183+$E$187+$E$191+$E$195+$E$199+$E$203+$E$207+$E$211+$E$215+$E$219+$E$223)," ")</f>
        <v xml:space="preserve"> </v>
      </c>
      <c r="G203" s="22">
        <f>COUNTIFS('Falls Data Entry'!$H$6:$H$423,"&lt;&gt;"&amp;" ",'Falls Data Entry'!$N$6:$N$423,"="&amp;"Therapy",'Falls Data Entry'!$H$6:$H$423,"&gt;="&amp;DATE(YEAR(VALUE(calc!$E$10)),1,1),'Falls Data Entry'!$H$6:$H$423,"&lt;="&amp;DATE(YEAR(VALUE(calc!$E$10)),12,31),'Falls Data Entry'!$A$6:$A$423,D203)</f>
        <v>0</v>
      </c>
      <c r="H203" s="82" t="str">
        <f>IFERROR(G203/($G$183+$G$187+$G$191+$G$195+$G$199+$G$203+$G$207+$G$211+$G$215+$G$219+$G$223)," ")</f>
        <v xml:space="preserve"> </v>
      </c>
    </row>
    <row r="204" spans="1:8" ht="17.25" x14ac:dyDescent="0.3">
      <c r="A204" s="7">
        <v>6.1470588235294104</v>
      </c>
      <c r="B204" s="7"/>
      <c r="C204" s="83"/>
      <c r="D204" s="84" t="str">
        <f>IF(ISNONTEXT($G$7),"",$G$7)</f>
        <v/>
      </c>
      <c r="E204" s="22">
        <f>COUNTIFS('Falls Data Entry'!$H$6:$H$423,"&lt;&gt;"&amp;" ",'Falls Data Entry'!$N$6:$N$423,"="&amp;"Therapy",'Falls Data Entry'!$H$6:$H$423,"&gt;="&amp;DATE(YEAR(calc!$E$9),MONTH(calc!$E$9),1),'Falls Data Entry'!$H$6:$H$423,"&lt;="&amp;EOMONTH(DATE(YEAR(calc!$E$9),MONTH(calc!$E$9),1),0),'Falls Data Entry'!$A$6:$A$423,D204)</f>
        <v>0</v>
      </c>
      <c r="F204" s="82" t="str">
        <f>IFERROR(E204/($E$184+$E$188+$E$192+$E$196+$E$200+$E$204+$E$208+$E$212+$E$216+$E$220+$E$224)," ")</f>
        <v xml:space="preserve"> </v>
      </c>
      <c r="G204" s="22">
        <f>COUNTIFS('Falls Data Entry'!$H$6:$H$423,"&lt;&gt;"&amp;" ",'Falls Data Entry'!$N$6:$N$423,"="&amp;"Therapy",'Falls Data Entry'!$H$6:$H$423,"&gt;="&amp;DATE(YEAR(VALUE(calc!$E$10)),1,1),'Falls Data Entry'!$H$6:$H$423,"&lt;="&amp;DATE(YEAR(VALUE(calc!$E$10)),12,31),'Falls Data Entry'!$A$6:$A$423,D204)</f>
        <v>0</v>
      </c>
      <c r="H204" s="82" t="str">
        <f>IFERROR(G204/($G$184+$G$188+$G$192+$G$196+$G$200+$G$204+$G$208+$G$212+$G$216+$G$220+$G$224)," ")</f>
        <v xml:space="preserve"> </v>
      </c>
    </row>
    <row r="205" spans="1:8" ht="17.25" x14ac:dyDescent="0.3">
      <c r="A205" s="7">
        <v>7</v>
      </c>
      <c r="B205" s="7"/>
      <c r="C205" s="80" t="s">
        <v>74</v>
      </c>
      <c r="D205" s="81" t="s">
        <v>3</v>
      </c>
      <c r="E205" s="22">
        <f>COUNTIFS('Falls Data Entry'!$H$6:$H$423,"&lt;&gt;"&amp;" ",'Falls Data Entry'!$N$6:$N$423,"="&amp;"Beauty/Barber",'Falls Data Entry'!$H$6:$H$423,"&gt;="&amp;DATE(YEAR(calc!$E$9),MONTH(calc!$E$9),1),'Falls Data Entry'!$H$6:$H$423,"&lt;="&amp;EOMONTH(DATE(YEAR(calc!$E$9),MONTH(calc!$E$9),1),0))</f>
        <v>0</v>
      </c>
      <c r="F205" s="82" t="str">
        <f>IFERROR(E205/($E$181+$E$185+$E$189+$E$193+$E$197+$E$201+$E$205+$E$209+$E$213+$E$217+$E$221)," ")</f>
        <v xml:space="preserve"> </v>
      </c>
      <c r="G205" s="22">
        <f>COUNTIFS('Falls Data Entry'!$H$6:$H$423,"&lt;&gt;"&amp;" ",'Falls Data Entry'!$N$6:$N$423,"="&amp;"Beauty/Barber",'Falls Data Entry'!$H$6:$H$423,"&gt;="&amp;DATE(YEAR(VALUE(calc!$E$10)),1,1),'Falls Data Entry'!$H$6:$H$423,"&lt;="&amp;DATE(YEAR(VALUE(calc!$E$10)),12,31))</f>
        <v>0</v>
      </c>
      <c r="H205" s="82" t="str">
        <f>IFERROR(G205/($G$181+$G$185+$G$189+$G$193+$G$197+$G$201+$G$205+$G$209+$G$213+$G$217+$G$221)," ")</f>
        <v xml:space="preserve"> </v>
      </c>
    </row>
    <row r="206" spans="1:8" ht="17.25" x14ac:dyDescent="0.3">
      <c r="A206" s="7">
        <v>6.6176470588235299</v>
      </c>
      <c r="B206" s="7"/>
      <c r="C206" s="83"/>
      <c r="D206" s="84" t="str">
        <f>IF(ISNONTEXT($E$7),"",$E$7)</f>
        <v>Unit 1</v>
      </c>
      <c r="E206" s="22">
        <f>COUNTIFS('Falls Data Entry'!$H$6:$H$423,"&lt;&gt;"&amp;" ",'Falls Data Entry'!$N$6:$N$423,"="&amp;"Beauty/Barber",'Falls Data Entry'!$H$6:$H$423,"&gt;="&amp;DATE(YEAR(calc!$E$9),MONTH(calc!$E$9),1),'Falls Data Entry'!$H$6:$H$423,"&lt;="&amp;EOMONTH(DATE(YEAR(calc!$E$9),MONTH(calc!$E$9),1),0),'Falls Data Entry'!$A$6:$A$423,D206)</f>
        <v>0</v>
      </c>
      <c r="F206" s="82" t="str">
        <f>IFERROR(E206/($E$182+$E$186+$E$190+$E$194+$E$198+$E$202+$E$206+$E$210+$E$214+$E$218+$E$222)," ")</f>
        <v xml:space="preserve"> </v>
      </c>
      <c r="G206" s="22">
        <f>COUNTIFS('Falls Data Entry'!$H$6:$H$423,"&lt;&gt;"&amp;" ",'Falls Data Entry'!$N$6:$N$423,"="&amp;"Beauty/Barber",'Falls Data Entry'!$H$6:$H$423,"&gt;="&amp;DATE(YEAR(VALUE(calc!$E$10)),1,1),'Falls Data Entry'!$H$6:$H$423,"&lt;="&amp;DATE(YEAR(VALUE(calc!$E$10)),12,31),'Falls Data Entry'!$A$6:$A$423,D206)</f>
        <v>0</v>
      </c>
      <c r="H206" s="82" t="str">
        <f>IFERROR(G206/($G$182+$G$186+$G$190+$G$194+$G$198+$G$202+$G$206+$G$210+$G$214+$G$218+$G$222)," ")</f>
        <v xml:space="preserve"> </v>
      </c>
    </row>
    <row r="207" spans="1:8" ht="17.25" x14ac:dyDescent="0.3">
      <c r="A207" s="7">
        <v>6.8529411764705896</v>
      </c>
      <c r="B207" s="7"/>
      <c r="C207" s="83"/>
      <c r="D207" s="84" t="str">
        <f>IF(ISNONTEXT($F$7),"",$F$7)</f>
        <v/>
      </c>
      <c r="E207" s="22">
        <f>COUNTIFS('Falls Data Entry'!$H$6:$H$423,"&lt;&gt;"&amp;" ",'Falls Data Entry'!$N$6:$N$423,"="&amp;"Beauty/Barber",'Falls Data Entry'!$H$6:$H$423,"&gt;="&amp;DATE(YEAR(calc!$E$9),MONTH(calc!$E$9),1),'Falls Data Entry'!$H$6:$H$423,"&lt;="&amp;EOMONTH(DATE(YEAR(calc!$E$9),MONTH(calc!$E$9),1),0),'Falls Data Entry'!$A$6:$A$423,D207)</f>
        <v>0</v>
      </c>
      <c r="F207" s="82" t="str">
        <f>IFERROR(E207/($E$183+$E$187+$E$191+$E$195+$E$199+$E$203+$E$207+$E$211+$E$215+$E$219+$E$223)," ")</f>
        <v xml:space="preserve"> </v>
      </c>
      <c r="G207" s="22">
        <f>COUNTIFS('Falls Data Entry'!$H$6:$H$423,"&lt;&gt;"&amp;" ",'Falls Data Entry'!$N$6:$N$423,"="&amp;"Beauty/Barber",'Falls Data Entry'!$H$6:$H$423,"&gt;="&amp;DATE(YEAR(VALUE(calc!$E$10)),1,1),'Falls Data Entry'!$H$6:$H$423,"&lt;="&amp;DATE(YEAR(VALUE(calc!$E$10)),12,31),'Falls Data Entry'!$A$6:$A$423,D207)</f>
        <v>0</v>
      </c>
      <c r="H207" s="82" t="str">
        <f>IFERROR(G207/($G$183+$G$187+$G$191+$G$195+$G$199+$G$203+$G$207+$G$211+$G$215+$G$219+$G$223)," ")</f>
        <v xml:space="preserve"> </v>
      </c>
    </row>
    <row r="208" spans="1:8" ht="17.25" x14ac:dyDescent="0.3">
      <c r="A208" s="7">
        <v>7.0882352941176503</v>
      </c>
      <c r="B208" s="7"/>
      <c r="C208" s="83"/>
      <c r="D208" s="84" t="str">
        <f>IF(ISNONTEXT($G$7),"",$G$7)</f>
        <v/>
      </c>
      <c r="E208" s="22">
        <f>COUNTIFS('Falls Data Entry'!$H$6:$H$423,"&lt;&gt;"&amp;" ",'Falls Data Entry'!$N$6:$N$423,"="&amp;"Beauty/Barber",'Falls Data Entry'!$H$6:$H$423,"&gt;="&amp;DATE(YEAR(calc!$E$9),MONTH(calc!$E$9),1),'Falls Data Entry'!$H$6:$H$423,"&lt;="&amp;EOMONTH(DATE(YEAR(calc!$E$9),MONTH(calc!$E$9),1),0),'Falls Data Entry'!$A$6:$A$423,D208)</f>
        <v>0</v>
      </c>
      <c r="F208" s="82" t="str">
        <f>IFERROR(E208/($E$184+$E$188+$E$192+$E$196+$E$200+$E$204+$E$208+$E$212+$E$216+$E$220+$E$224)," ")</f>
        <v xml:space="preserve"> </v>
      </c>
      <c r="G208" s="22">
        <f>COUNTIFS('Falls Data Entry'!$H$6:$H$423,"&lt;&gt;"&amp;" ",'Falls Data Entry'!$N$6:$N$423,"="&amp;"Beauty/Barber",'Falls Data Entry'!$H$6:$H$423,"&gt;="&amp;DATE(YEAR(VALUE(calc!$E$10)),1,1),'Falls Data Entry'!$H$6:$H$423,"&lt;="&amp;DATE(YEAR(VALUE(calc!$E$10)),12,31),'Falls Data Entry'!$A$6:$A$423,D208)</f>
        <v>0</v>
      </c>
      <c r="H208" s="82" t="str">
        <f>IFERROR(G208/($G$184+$G$188+$G$192+$G$196+$G$200+$G$204+$G$208+$G$212+$G$216+$G$220+$G$224)," ")</f>
        <v xml:space="preserve"> </v>
      </c>
    </row>
    <row r="209" spans="1:8" ht="17.25" x14ac:dyDescent="0.3">
      <c r="A209" s="7">
        <v>8</v>
      </c>
      <c r="B209" s="7"/>
      <c r="C209" s="80" t="s">
        <v>75</v>
      </c>
      <c r="D209" s="81" t="s">
        <v>3</v>
      </c>
      <c r="E209" s="22">
        <f>COUNTIFS('Falls Data Entry'!$H$6:$H$423,"&lt;&gt;"&amp;" ",'Falls Data Entry'!$N$6:$N$423,"="&amp;"Shower/Tub",'Falls Data Entry'!$H$6:$H$423,"&gt;="&amp;DATE(YEAR(calc!$E$9),MONTH(calc!$E$9),1),'Falls Data Entry'!$H$6:$H$423,"&lt;="&amp;EOMONTH(DATE(YEAR(calc!$E$9),MONTH(calc!$E$9),1),0))</f>
        <v>0</v>
      </c>
      <c r="F209" s="82" t="str">
        <f>IFERROR(E209/($E$181+$E$185+$E$189+$E$193+$E$197+$E$201+$E$205+$E$209+$E$213+$E$217+$E$221)," ")</f>
        <v xml:space="preserve"> </v>
      </c>
      <c r="G209" s="22">
        <f>COUNTIFS('Falls Data Entry'!$H$6:$H$423,"&lt;&gt;"&amp;" ",'Falls Data Entry'!$N$6:$N$423,"="&amp;"Shower/Tub",'Falls Data Entry'!$H$6:$H$423,"&gt;="&amp;DATE(YEAR(VALUE(calc!$E$10)),1,1),'Falls Data Entry'!$H$6:$H$423,"&lt;="&amp;DATE(YEAR(VALUE(calc!$E$10)),12,31))</f>
        <v>0</v>
      </c>
      <c r="H209" s="82" t="str">
        <f>IFERROR(G209/($G$181+$G$185+$G$189+$G$193+$G$197+$G$201+$G$205+$G$209+$G$213+$G$217+$G$221)," ")</f>
        <v xml:space="preserve"> </v>
      </c>
    </row>
    <row r="210" spans="1:8" ht="17.25" x14ac:dyDescent="0.3">
      <c r="A210" s="7">
        <v>7.5588235294117698</v>
      </c>
      <c r="B210" s="7"/>
      <c r="C210" s="87"/>
      <c r="D210" s="84" t="str">
        <f>IF(ISNONTEXT($E$7),"",$E$7)</f>
        <v>Unit 1</v>
      </c>
      <c r="E210" s="22">
        <f>COUNTIFS('Falls Data Entry'!$H$6:$H$423,"&lt;&gt;"&amp;" ",'Falls Data Entry'!$N$6:$N$423,"="&amp;"Shower/Tub",'Falls Data Entry'!$H$6:$H$423,"&gt;="&amp;DATE(YEAR(calc!$E$9),MONTH(calc!$E$9),1),'Falls Data Entry'!$H$6:$H$423,"&lt;="&amp;EOMONTH(DATE(YEAR(calc!$E$9),MONTH(calc!$E$9),1),0),'Falls Data Entry'!$A$6:$A$423,D210)</f>
        <v>0</v>
      </c>
      <c r="F210" s="82" t="str">
        <f>IFERROR(E210/($E$182+$E$186+$E$190+$E$194+$E$198+$E$202+$E$206+$E$210+$E$214+$E$218+$E$222)," ")</f>
        <v xml:space="preserve"> </v>
      </c>
      <c r="G210" s="22">
        <f>COUNTIFS('Falls Data Entry'!$H$6:$H$423,"&lt;&gt;"&amp;" ",'Falls Data Entry'!$N$6:$N$423,"="&amp;"Shower/Tub",'Falls Data Entry'!$H$6:$H$423,"&gt;="&amp;DATE(YEAR(VALUE(calc!$E$10)),1,1),'Falls Data Entry'!$H$6:$H$423,"&lt;="&amp;DATE(YEAR(VALUE(calc!$E$10)),12,31),'Falls Data Entry'!$A$6:$A$423,D210)</f>
        <v>0</v>
      </c>
      <c r="H210" s="82" t="str">
        <f>IFERROR(G210/($G$182+$G$186+$G$190+$G$194+$G$198+$G$202+$G$206+$G$210+$G$214+$G$218+$G$222)," ")</f>
        <v xml:space="preserve"> </v>
      </c>
    </row>
    <row r="211" spans="1:8" ht="17.25" x14ac:dyDescent="0.3">
      <c r="A211" s="7">
        <v>7.7941176470588198</v>
      </c>
      <c r="B211" s="7"/>
      <c r="C211" s="87"/>
      <c r="D211" s="84" t="str">
        <f>IF(ISNONTEXT($F$7),"",$F$7)</f>
        <v/>
      </c>
      <c r="E211" s="22">
        <f>COUNTIFS('Falls Data Entry'!$H$6:$H$423,"&lt;&gt;"&amp;" ",'Falls Data Entry'!$N$6:$N$423,"="&amp;"Shower/Tub",'Falls Data Entry'!$H$6:$H$423,"&gt;="&amp;DATE(YEAR(calc!$E$9),MONTH(calc!$E$9),1),'Falls Data Entry'!$H$6:$H$423,"&lt;="&amp;EOMONTH(DATE(YEAR(calc!$E$9),MONTH(calc!$E$9),1),0),'Falls Data Entry'!$A$6:$A$423,D211)</f>
        <v>0</v>
      </c>
      <c r="F211" s="82" t="str">
        <f>IFERROR(E211/($E$183+$E$187+$E$191+$E$195+$E$199+$E$203+$E$207+$E$211+$E$215+$E$219+$E$223)," ")</f>
        <v xml:space="preserve"> </v>
      </c>
      <c r="G211" s="22">
        <f>COUNTIFS('Falls Data Entry'!$H$6:$H$423,"&lt;&gt;"&amp;" ",'Falls Data Entry'!$N$6:$N$423,"="&amp;"Shower/Tub",'Falls Data Entry'!$H$6:$H$423,"&gt;="&amp;DATE(YEAR(VALUE(calc!$E$10)),1,1),'Falls Data Entry'!$H$6:$H$423,"&lt;="&amp;DATE(YEAR(VALUE(calc!$E$10)),12,31),'Falls Data Entry'!$A$6:$A$423,D211)</f>
        <v>0</v>
      </c>
      <c r="H211" s="82" t="str">
        <f>IFERROR(G211/($G$183+$G$187+$G$191+$G$195+$G$199+$G$203+$G$207+$G$211+$G$215+$G$219+$G$223)," ")</f>
        <v xml:space="preserve"> </v>
      </c>
    </row>
    <row r="212" spans="1:8" ht="17.25" x14ac:dyDescent="0.3">
      <c r="A212" s="7">
        <v>8.0294117647058805</v>
      </c>
      <c r="B212" s="7"/>
      <c r="C212" s="87"/>
      <c r="D212" s="84" t="str">
        <f>IF(ISNONTEXT($G$7),"",$G$7)</f>
        <v/>
      </c>
      <c r="E212" s="22">
        <f>COUNTIFS('Falls Data Entry'!$H$6:$H$423,"&lt;&gt;"&amp;" ",'Falls Data Entry'!$N$6:$N$423,"="&amp;"Shower/Tub",'Falls Data Entry'!$H$6:$H$423,"&gt;="&amp;DATE(YEAR(calc!$E$9),MONTH(calc!$E$9),1),'Falls Data Entry'!$H$6:$H$423,"&lt;="&amp;EOMONTH(DATE(YEAR(calc!$E$9),MONTH(calc!$E$9),1),0),'Falls Data Entry'!$A$6:$A$423,D212)</f>
        <v>0</v>
      </c>
      <c r="F212" s="82" t="str">
        <f>IFERROR(E212/($E$184+$E$188+$E$192+$E$196+$E$200+$E$204+$E$208+$E$212+$E$216+$E$220+$E$224)," ")</f>
        <v xml:space="preserve"> </v>
      </c>
      <c r="G212" s="22">
        <f>COUNTIFS('Falls Data Entry'!$H$6:$H$423,"&lt;&gt;"&amp;" ",'Falls Data Entry'!$N$6:$N$423,"="&amp;"Shower/Tub",'Falls Data Entry'!$H$6:$H$423,"&gt;="&amp;DATE(YEAR(VALUE(calc!$E$10)),1,1),'Falls Data Entry'!$H$6:$H$423,"&lt;="&amp;DATE(YEAR(VALUE(calc!$E$10)),12,31),'Falls Data Entry'!$A$6:$A$423,D212)</f>
        <v>0</v>
      </c>
      <c r="H212" s="82" t="str">
        <f>IFERROR(G212/($G$184+$G$188+$G$192+$G$196+$G$200+$G$204+$G$208+$G$212+$G$216+$G$220+$G$224)," ")</f>
        <v xml:space="preserve"> </v>
      </c>
    </row>
    <row r="213" spans="1:8" ht="17.25" x14ac:dyDescent="0.3">
      <c r="A213" s="7">
        <v>9</v>
      </c>
      <c r="B213" s="7"/>
      <c r="C213" s="80" t="s">
        <v>76</v>
      </c>
      <c r="D213" s="81" t="s">
        <v>3</v>
      </c>
      <c r="E213" s="22">
        <f>COUNTIFS('Falls Data Entry'!$H$6:$H$423,"&lt;&gt;"&amp;" ",'Falls Data Entry'!$N$6:$N$423,"="&amp;"Nursing Station",'Falls Data Entry'!$H$6:$H$423,"&gt;="&amp;DATE(YEAR(calc!$E$9),MONTH(calc!$E$9),1),'Falls Data Entry'!$H$6:$H$423,"&lt;="&amp;EOMONTH(DATE(YEAR(calc!$E$9),MONTH(calc!$E$9),1),0))</f>
        <v>0</v>
      </c>
      <c r="F213" s="82" t="str">
        <f>IFERROR(E213/($E$181+$E$185+$E$189+$E$193+$E$197+$E$201+$E$205+$E$209+$E$213+$E$217+$E$221)," ")</f>
        <v xml:space="preserve"> </v>
      </c>
      <c r="G213" s="22">
        <f>COUNTIFS('Falls Data Entry'!$H$6:$H$423,"&lt;&gt;"&amp;" ",'Falls Data Entry'!$N$6:$N$423,"="&amp;"Nursing Station",'Falls Data Entry'!$H$6:$H$423,"&gt;="&amp;DATE(YEAR(VALUE(calc!$E$10)),1,1),'Falls Data Entry'!$H$6:$H$423,"&lt;="&amp;DATE(YEAR(VALUE(calc!$E$10)),12,31))</f>
        <v>0</v>
      </c>
      <c r="H213" s="82" t="str">
        <f>IFERROR(G213/($G$181+$G$185+$G$189+$G$193+$G$197+$G$201+$G$205+$G$209+$G$213+$G$217+$G$221)," ")</f>
        <v xml:space="preserve"> </v>
      </c>
    </row>
    <row r="214" spans="1:8" ht="17.25" x14ac:dyDescent="0.3">
      <c r="A214" s="7">
        <v>8.5</v>
      </c>
      <c r="B214" s="46" t="s">
        <v>68</v>
      </c>
      <c r="C214" s="87"/>
      <c r="D214" s="84" t="str">
        <f>IF(ISNONTEXT($E$7),"",$E$7)</f>
        <v>Unit 1</v>
      </c>
      <c r="E214" s="22">
        <f>COUNTIFS('Falls Data Entry'!$H$6:$H$423,"&lt;&gt;"&amp;" ",'Falls Data Entry'!$N$6:$N$423,"="&amp;"Nursing Station",'Falls Data Entry'!$H$6:$H$423,"&gt;="&amp;DATE(YEAR(calc!$E$9),MONTH(calc!$E$9),1),'Falls Data Entry'!$H$6:$H$423,"&lt;="&amp;EOMONTH(DATE(YEAR(calc!$E$9),MONTH(calc!$E$9),1),0),'Falls Data Entry'!$A$6:$A$423,D214)</f>
        <v>0</v>
      </c>
      <c r="F214" s="82" t="str">
        <f>IFERROR(E214/($E$182+$E$186+$E$190+$E$194+$E$198+$E$202+$E$206+$E$210+$E$214+$E$218+$E$222)," ")</f>
        <v xml:space="preserve"> </v>
      </c>
      <c r="G214" s="22">
        <f>COUNTIFS('Falls Data Entry'!$H$6:$H$423,"&lt;&gt;"&amp;" ",'Falls Data Entry'!$N$6:$N$423,"="&amp;"Nursing Station",'Falls Data Entry'!$H$6:$H$423,"&gt;="&amp;DATE(YEAR(VALUE(calc!$E$10)),1,1),'Falls Data Entry'!$H$6:$H$423,"&lt;="&amp;DATE(YEAR(VALUE(calc!$E$10)),12,31),'Falls Data Entry'!$A$6:$A$423,D214)</f>
        <v>0</v>
      </c>
      <c r="H214" s="82" t="str">
        <f>IFERROR(G214/($G$182+$G$186+$G$190+$G$194+$G$198+$G$202+$G$206+$G$210+$G$214+$G$218+$G$222)," ")</f>
        <v xml:space="preserve"> </v>
      </c>
    </row>
    <row r="215" spans="1:8" ht="17.25" x14ac:dyDescent="0.3">
      <c r="A215" s="7">
        <v>8.7352941176470598</v>
      </c>
      <c r="B215" s="46" t="s">
        <v>69</v>
      </c>
      <c r="C215" s="87"/>
      <c r="D215" s="84" t="str">
        <f>IF(ISNONTEXT($F$7),"",$F$7)</f>
        <v/>
      </c>
      <c r="E215" s="22">
        <f>COUNTIFS('Falls Data Entry'!$H$6:$H$423,"&lt;&gt;"&amp;" ",'Falls Data Entry'!$N$6:$N$423,"="&amp;"Nursing Station",'Falls Data Entry'!$H$6:$H$423,"&gt;="&amp;DATE(YEAR(calc!$E$9),MONTH(calc!$E$9),1),'Falls Data Entry'!$H$6:$H$423,"&lt;="&amp;EOMONTH(DATE(YEAR(calc!$E$9),MONTH(calc!$E$9),1),0),'Falls Data Entry'!$A$6:$A$423,D215)</f>
        <v>0</v>
      </c>
      <c r="F215" s="82" t="str">
        <f>IFERROR(E215/($E$183+$E$187+$E$191+$E$195+$E$199+$E$203+$E$207+$E$211+$E$215+$E$219+$E$223)," ")</f>
        <v xml:space="preserve"> </v>
      </c>
      <c r="G215" s="22">
        <f>COUNTIFS('Falls Data Entry'!$H$6:$H$423,"&lt;&gt;"&amp;" ",'Falls Data Entry'!$N$6:$N$423,"="&amp;"Nursing Station",'Falls Data Entry'!$H$6:$H$423,"&gt;="&amp;DATE(YEAR(VALUE(calc!$E$10)),1,1),'Falls Data Entry'!$H$6:$H$423,"&lt;="&amp;DATE(YEAR(VALUE(calc!$E$10)),12,31),'Falls Data Entry'!$A$6:$A$423,D215)</f>
        <v>0</v>
      </c>
      <c r="H215" s="82" t="str">
        <f>IFERROR(G215/($G$183+$G$187+$G$191+$G$195+$G$199+$G$203+$G$207+$G$211+$G$215+$G$219+$G$223)," ")</f>
        <v xml:space="preserve"> </v>
      </c>
    </row>
    <row r="216" spans="1:8" ht="17.25" x14ac:dyDescent="0.3">
      <c r="A216" s="7">
        <v>8.9705882352941195</v>
      </c>
      <c r="B216" s="46" t="s">
        <v>70</v>
      </c>
      <c r="C216" s="96"/>
      <c r="D216" s="84" t="str">
        <f>IF(ISNONTEXT($G$7),"",$G$7)</f>
        <v/>
      </c>
      <c r="E216" s="22">
        <f>COUNTIFS('Falls Data Entry'!$H$6:$H$423,"&lt;&gt;"&amp;" ",'Falls Data Entry'!$N$6:$N$423,"="&amp;"Nursing Station",'Falls Data Entry'!$H$6:$H$423,"&gt;="&amp;DATE(YEAR(calc!$E$9),MONTH(calc!$E$9),1),'Falls Data Entry'!$H$6:$H$423,"&lt;="&amp;EOMONTH(DATE(YEAR(calc!$E$9),MONTH(calc!$E$9),1),0),'Falls Data Entry'!$A$6:$A$423,D216)</f>
        <v>0</v>
      </c>
      <c r="F216" s="82" t="str">
        <f>IFERROR(E216/($E$184+$E$188+$E$192+$E$196+$E$200+$E$204+$E$208+$E$212+$E$216+$E$220+$E$224)," ")</f>
        <v xml:space="preserve"> </v>
      </c>
      <c r="G216" s="22">
        <f>COUNTIFS('Falls Data Entry'!$H$6:$H$423,"&lt;&gt;"&amp;" ",'Falls Data Entry'!$N$6:$N$423,"="&amp;"Nursing Station",'Falls Data Entry'!$H$6:$H$423,"&gt;="&amp;DATE(YEAR(VALUE(calc!$E$10)),1,1),'Falls Data Entry'!$H$6:$H$423,"&lt;="&amp;DATE(YEAR(VALUE(calc!$E$10)),12,31),'Falls Data Entry'!$A$6:$A$423,D216)</f>
        <v>0</v>
      </c>
      <c r="H216" s="82" t="str">
        <f>IFERROR(G216/($G$184+$G$188+$G$192+$G$196+$G$200+$G$204+$G$208+$G$212+$G$216+$G$220+$G$224)," ")</f>
        <v xml:space="preserve"> </v>
      </c>
    </row>
    <row r="217" spans="1:8" ht="17.25" x14ac:dyDescent="0.3">
      <c r="A217" s="7">
        <v>10</v>
      </c>
      <c r="B217" s="46" t="s">
        <v>71</v>
      </c>
      <c r="C217" s="80" t="s">
        <v>77</v>
      </c>
      <c r="D217" s="81" t="s">
        <v>3</v>
      </c>
      <c r="E217" s="22">
        <f>COUNTIFS('Falls Data Entry'!$H$6:$H$423,"&lt;&gt;"&amp;" ",'Falls Data Entry'!$N$6:$N$423,"="&amp;"Out of Facility",'Falls Data Entry'!$H$6:$H$423,"&gt;="&amp;DATE(YEAR(calc!$E$9),MONTH(calc!$E$9),1),'Falls Data Entry'!$H$6:$H$423,"&lt;="&amp;EOMONTH(DATE(YEAR(calc!$E$9),MONTH(calc!$E$9),1),0))</f>
        <v>0</v>
      </c>
      <c r="F217" s="82" t="str">
        <f>IFERROR(E217/($E$181+$E$185+$E$189+$E$193+$E$197+$E$201+$E$205+$E$209+$E$213+$E$217+$E$221)," ")</f>
        <v xml:space="preserve"> </v>
      </c>
      <c r="G217" s="22">
        <f>COUNTIFS('Falls Data Entry'!$H$6:$H$423,"&lt;&gt;"&amp;" ",'Falls Data Entry'!$N$6:$N$423,"="&amp;"Out of Facility",'Falls Data Entry'!$H$6:$H$423,"&gt;="&amp;DATE(YEAR(VALUE(calc!$E$10)),1,1),'Falls Data Entry'!$H$6:$H$423,"&lt;="&amp;DATE(YEAR(VALUE(calc!$E$10)),12,31))</f>
        <v>0</v>
      </c>
      <c r="H217" s="82" t="str">
        <f>IFERROR(G217/($G$181+$G$185+$G$189+$G$193+$G$197+$G$201+$G$205+$G$209+$G$213+$G$217+$G$221)," ")</f>
        <v xml:space="preserve"> </v>
      </c>
    </row>
    <row r="218" spans="1:8" ht="17.25" x14ac:dyDescent="0.3">
      <c r="A218" s="7">
        <v>10</v>
      </c>
      <c r="B218" s="46" t="s">
        <v>72</v>
      </c>
      <c r="C218" s="87"/>
      <c r="D218" s="84" t="str">
        <f>IF(ISNONTEXT($E$7),"",$E$7)</f>
        <v>Unit 1</v>
      </c>
      <c r="E218" s="22">
        <f>COUNTIFS('Falls Data Entry'!$H$6:$H$423,"&lt;&gt;"&amp;" ",'Falls Data Entry'!$N$6:$N$423,"="&amp;"Out of Facility",'Falls Data Entry'!$H$6:$H$423,"&gt;="&amp;DATE(YEAR(calc!$E$9),MONTH(calc!$E$9),1),'Falls Data Entry'!$H$6:$H$423,"&lt;="&amp;EOMONTH(DATE(YEAR(calc!$E$9),MONTH(calc!$E$9),1),0),'Falls Data Entry'!$A$6:$A$423,D218)</f>
        <v>0</v>
      </c>
      <c r="F218" s="82" t="str">
        <f>IFERROR(E218/($E$182+$E$186+$E$190+$E$194+$E$198+$E$202+$E$206+$E$210+$E$214+$E$218+$E$222)," ")</f>
        <v xml:space="preserve"> </v>
      </c>
      <c r="G218" s="22">
        <f>COUNTIFS('Falls Data Entry'!$H$6:$H$423,"&lt;&gt;"&amp;" ",'Falls Data Entry'!$N$6:$N$423,"="&amp;"Out of Facility",'Falls Data Entry'!$H$6:$H$423,"&gt;="&amp;DATE(YEAR(VALUE(calc!$E$10)),1,1),'Falls Data Entry'!$H$6:$H$423,"&lt;="&amp;DATE(YEAR(VALUE(calc!$E$10)),12,31),'Falls Data Entry'!$A$6:$A$423,D218)</f>
        <v>0</v>
      </c>
      <c r="H218" s="82" t="str">
        <f>IFERROR(G218/($G$182+$G$186+$G$190+$G$194+$G$198+$G$202+$G$206+$G$210+$G$214+$G$218+$G$222)," ")</f>
        <v xml:space="preserve"> </v>
      </c>
    </row>
    <row r="219" spans="1:8" ht="17.25" x14ac:dyDescent="0.3">
      <c r="A219" s="7">
        <v>10</v>
      </c>
      <c r="B219" s="46" t="s">
        <v>73</v>
      </c>
      <c r="C219" s="87"/>
      <c r="D219" s="84" t="str">
        <f>IF(ISNONTEXT($F$7),"",$F$7)</f>
        <v/>
      </c>
      <c r="E219" s="22">
        <f>COUNTIFS('Falls Data Entry'!$H$6:$H$423,"&lt;&gt;"&amp;" ",'Falls Data Entry'!$N$6:$N$423,"="&amp;"Out of Facility",'Falls Data Entry'!$H$6:$H$423,"&gt;="&amp;DATE(YEAR(calc!$E$9),MONTH(calc!$E$9),1),'Falls Data Entry'!$H$6:$H$423,"&lt;="&amp;EOMONTH(DATE(YEAR(calc!$E$9),MONTH(calc!$E$9),1),0),'Falls Data Entry'!$A$6:$A$423,D219)</f>
        <v>0</v>
      </c>
      <c r="F219" s="82" t="str">
        <f>IFERROR(E219/($E$183+$E$187+$E$191+$E$195+$E$199+$E$203+$E$207+$E$211+$E$215+$E$219+$E$223)," ")</f>
        <v xml:space="preserve"> </v>
      </c>
      <c r="G219" s="22">
        <f>COUNTIFS('Falls Data Entry'!$H$6:$H$423,"&lt;&gt;"&amp;" ",'Falls Data Entry'!$N$6:$N$423,"="&amp;"Out of Facility",'Falls Data Entry'!$H$6:$H$423,"&gt;="&amp;DATE(YEAR(VALUE(calc!$E$10)),1,1),'Falls Data Entry'!$H$6:$H$423,"&lt;="&amp;DATE(YEAR(VALUE(calc!$E$10)),12,31),'Falls Data Entry'!$A$6:$A$423,D219)</f>
        <v>0</v>
      </c>
      <c r="H219" s="82" t="str">
        <f>IFERROR(G219/($G$183+$G$187+$G$191+$G$195+$G$199+$G$203+$G$207+$G$211+$G$215+$G$219+$G$223)," ")</f>
        <v xml:space="preserve"> </v>
      </c>
    </row>
    <row r="220" spans="1:8" ht="17.25" x14ac:dyDescent="0.3">
      <c r="A220" s="7">
        <v>10</v>
      </c>
      <c r="B220" s="46" t="s">
        <v>74</v>
      </c>
      <c r="C220" s="96"/>
      <c r="D220" s="84" t="str">
        <f>IF(ISNONTEXT($G$7),"",$G$7)</f>
        <v/>
      </c>
      <c r="E220" s="22">
        <f>COUNTIFS('Falls Data Entry'!$H$6:$H$423,"&lt;&gt;"&amp;" ",'Falls Data Entry'!$N$6:$N$423,"="&amp;"Out of Facility",'Falls Data Entry'!$H$6:$H$423,"&gt;="&amp;DATE(YEAR(calc!$E$9),MONTH(calc!$E$9),1),'Falls Data Entry'!$H$6:$H$423,"&lt;="&amp;EOMONTH(DATE(YEAR(calc!$E$9),MONTH(calc!$E$9),1),0),'Falls Data Entry'!$A$6:$A$423,D220)</f>
        <v>0</v>
      </c>
      <c r="F220" s="82" t="str">
        <f>IFERROR(E220/($E$184+$E$188+$E$192+$E$196+$E$200+$E$204+$E$208+$E$212+$E$216+$E$220+$E$224)," ")</f>
        <v xml:space="preserve"> </v>
      </c>
      <c r="G220" s="22">
        <f>COUNTIFS('Falls Data Entry'!$H$6:$H$423,"&lt;&gt;"&amp;" ",'Falls Data Entry'!$N$6:$N$423,"="&amp;"Out of Facility",'Falls Data Entry'!$H$6:$H$423,"&gt;="&amp;DATE(YEAR(VALUE(calc!$E$10)),1,1),'Falls Data Entry'!$H$6:$H$423,"&lt;="&amp;DATE(YEAR(VALUE(calc!$E$10)),12,31),'Falls Data Entry'!$A$6:$A$423,D220)</f>
        <v>0</v>
      </c>
      <c r="H220" s="82" t="str">
        <f>IFERROR(G220/($G$184+$G$188+$G$192+$G$196+$G$200+$G$204+$G$208+$G$212+$G$216+$G$220+$G$224)," ")</f>
        <v xml:space="preserve"> </v>
      </c>
    </row>
    <row r="221" spans="1:8" ht="17.25" x14ac:dyDescent="0.3">
      <c r="A221" s="7">
        <v>11</v>
      </c>
      <c r="B221" s="46" t="s">
        <v>75</v>
      </c>
      <c r="C221" s="80" t="s">
        <v>32</v>
      </c>
      <c r="D221" s="81" t="s">
        <v>3</v>
      </c>
      <c r="E221" s="22">
        <f>COUNTIFS('Falls Data Entry'!$H$6:$H$423,"&lt;&gt;"&amp;" ",'Falls Data Entry'!$N$6:$N$423,"="&amp;"Other",'Falls Data Entry'!$H$6:$H$423,"&gt;="&amp;DATE(YEAR(calc!$E$9),MONTH(calc!$E$9),1),'Falls Data Entry'!$H$6:$H$423,"&lt;="&amp;EOMONTH(DATE(YEAR(calc!$E$9),MONTH(calc!$E$9),1),0))</f>
        <v>0</v>
      </c>
      <c r="F221" s="82" t="str">
        <f>IFERROR(E221/($E$181+$E$185+$E$189+$E$193+$E$197+$E$201+$E$205+$E$209+$E$213+$E$217+$E$221)," ")</f>
        <v xml:space="preserve"> </v>
      </c>
      <c r="G221" s="22">
        <f>COUNTIFS('Falls Data Entry'!$H$6:$H$423,"&lt;&gt;"&amp;" ",'Falls Data Entry'!$N$6:$N$423,"="&amp;"Other",'Falls Data Entry'!$H$6:$H$423,"&gt;="&amp;DATE(YEAR(VALUE(calc!$E$10)),1,1),'Falls Data Entry'!$H$6:$H$423,"&lt;="&amp;DATE(YEAR(VALUE(calc!$E$10)),12,31))</f>
        <v>0</v>
      </c>
      <c r="H221" s="82" t="str">
        <f>IFERROR(G221/($G$181+$G$185+$G$189+$G$193+$G$197+$G$201+$G$205+$G$209+$G$213+$G$217+$G$221)," ")</f>
        <v xml:space="preserve"> </v>
      </c>
    </row>
    <row r="222" spans="1:8" ht="17.25" x14ac:dyDescent="0.3">
      <c r="A222" s="7">
        <v>11</v>
      </c>
      <c r="B222" s="46" t="s">
        <v>76</v>
      </c>
      <c r="C222" s="87"/>
      <c r="D222" s="84" t="str">
        <f>IF(ISNONTEXT($E$7),"",$E$7)</f>
        <v>Unit 1</v>
      </c>
      <c r="E222" s="22">
        <f>COUNTIFS('Falls Data Entry'!$H$6:$H$423,"&lt;&gt;"&amp;" ",'Falls Data Entry'!$N$6:$N$423,"="&amp;"Other",'Falls Data Entry'!$H$6:$H$423,"&gt;="&amp;DATE(YEAR(calc!$E$9),MONTH(calc!$E$9),1),'Falls Data Entry'!$H$6:$H$423,"&lt;="&amp;EOMONTH(DATE(YEAR(calc!$E$9),MONTH(calc!$E$9),1),0),'Falls Data Entry'!$A$6:$A$423,D222)</f>
        <v>0</v>
      </c>
      <c r="F222" s="82" t="str">
        <f>IFERROR(E222/($E$182+$E$186+$E$190+$E$194+$E$198+$E$202+$E$206+$E$210+$E$214+$E$218+$E$222)," ")</f>
        <v xml:space="preserve"> </v>
      </c>
      <c r="G222" s="22">
        <f>COUNTIFS('Falls Data Entry'!$H$6:$H$423,"&lt;&gt;"&amp;" ",'Falls Data Entry'!$N$6:$N$423,"="&amp;"Other",'Falls Data Entry'!$H$6:$H$423,"&gt;="&amp;DATE(YEAR(VALUE(calc!$E$10)),1,1),'Falls Data Entry'!$H$6:$H$423,"&lt;="&amp;DATE(YEAR(VALUE(calc!$E$10)),12,31),'Falls Data Entry'!$A$6:$A$423,D222)</f>
        <v>0</v>
      </c>
      <c r="H222" s="82" t="str">
        <f>IFERROR(G222/($G$182+$G$186+$G$190+$G$194+$G$198+$G$202+$G$206+$G$210+$G$214+$G$218+$G$222)," ")</f>
        <v xml:space="preserve"> </v>
      </c>
    </row>
    <row r="223" spans="1:8" ht="17.25" x14ac:dyDescent="0.3">
      <c r="A223" s="7">
        <v>11</v>
      </c>
      <c r="B223" s="46" t="s">
        <v>77</v>
      </c>
      <c r="C223" s="87"/>
      <c r="D223" s="84" t="str">
        <f>IF(ISNONTEXT($F$7),"",$F$7)</f>
        <v/>
      </c>
      <c r="E223" s="22">
        <f>COUNTIFS('Falls Data Entry'!$H$6:$H$423,"&lt;&gt;"&amp;" ",'Falls Data Entry'!$N$6:$N$423,"="&amp;"Other",'Falls Data Entry'!$H$6:$H$423,"&gt;="&amp;DATE(YEAR(calc!$E$9),MONTH(calc!$E$9),1),'Falls Data Entry'!$H$6:$H$423,"&lt;="&amp;EOMONTH(DATE(YEAR(calc!$E$9),MONTH(calc!$E$9),1),0),'Falls Data Entry'!$A$6:$A$423,D223)</f>
        <v>0</v>
      </c>
      <c r="F223" s="82" t="str">
        <f>IFERROR(E223/($E$183+$E$187+$E$191+$E$195+$E$199+$E$203+$E$207+$E$211+$E$215+$E$219+$E$223)," ")</f>
        <v xml:space="preserve"> </v>
      </c>
      <c r="G223" s="22">
        <f>COUNTIFS('Falls Data Entry'!$H$6:$H$423,"&lt;&gt;"&amp;" ",'Falls Data Entry'!$N$6:$N$423,"="&amp;"Other",'Falls Data Entry'!$H$6:$H$423,"&gt;="&amp;DATE(YEAR(VALUE(calc!$E$10)),1,1),'Falls Data Entry'!$H$6:$H$423,"&lt;="&amp;DATE(YEAR(VALUE(calc!$E$10)),12,31),'Falls Data Entry'!$A$6:$A$423,D223)</f>
        <v>0</v>
      </c>
      <c r="H223" s="82" t="str">
        <f>IFERROR(G223/($G$183+$G$187+$G$191+$G$195+$G$199+$G$203+$G$207+$G$211+$G$215+$G$219+$G$223)," ")</f>
        <v xml:space="preserve"> </v>
      </c>
    </row>
    <row r="224" spans="1:8" ht="17.25" x14ac:dyDescent="0.3">
      <c r="A224" s="7">
        <v>11</v>
      </c>
      <c r="B224" s="46" t="s">
        <v>32</v>
      </c>
      <c r="C224" s="96"/>
      <c r="D224" s="84" t="str">
        <f>IF(ISNONTEXT($G$7),"",$G$7)</f>
        <v/>
      </c>
      <c r="E224" s="22">
        <f>COUNTIFS('Falls Data Entry'!$H$6:$H$423,"&lt;&gt;"&amp;" ",'Falls Data Entry'!$N$6:$N$423,"="&amp;"Other",'Falls Data Entry'!$H$6:$H$423,"&gt;="&amp;DATE(YEAR(calc!$E$9),MONTH(calc!$E$9),1),'Falls Data Entry'!$H$6:$H$423,"&lt;="&amp;EOMONTH(DATE(YEAR(calc!$E$9),MONTH(calc!$E$9),1),0),'Falls Data Entry'!$A$6:$A$423,D224)</f>
        <v>0</v>
      </c>
      <c r="F224" s="82" t="str">
        <f>IFERROR(E224/($E$184+$E$188+$E$192+$E$196+$E$200+$E$204+$E$208+$E$212+$E$216+$E$220+$E$224)," ")</f>
        <v xml:space="preserve"> </v>
      </c>
      <c r="G224" s="22">
        <f>COUNTIFS('Falls Data Entry'!$H$6:$H$423,"&lt;&gt;"&amp;" ",'Falls Data Entry'!$N$6:$N$423,"="&amp;"Other",'Falls Data Entry'!$H$6:$H$423,"&gt;="&amp;DATE(YEAR(VALUE(calc!$E$10)),1,1),'Falls Data Entry'!$H$6:$H$423,"&lt;="&amp;DATE(YEAR(VALUE(calc!$E$10)),12,31),'Falls Data Entry'!$A$6:$A$423,D224)</f>
        <v>0</v>
      </c>
      <c r="H224" s="82" t="str">
        <f>IFERROR(G224/($G$184+$G$188+$G$192+$G$196+$G$200+$G$204+$G$208+$G$212+$G$216+$G$220+$G$224)," ")</f>
        <v xml:space="preserve"> </v>
      </c>
    </row>
    <row r="227" spans="1:15" ht="21" thickBot="1" x14ac:dyDescent="0.4">
      <c r="A227" s="7"/>
      <c r="B227" s="7"/>
      <c r="C227" s="76" t="s">
        <v>78</v>
      </c>
      <c r="D227" s="44"/>
      <c r="E227" s="168">
        <f>$E$9</f>
        <v>46174</v>
      </c>
      <c r="F227" s="168"/>
      <c r="G227" s="169" t="s">
        <v>11</v>
      </c>
      <c r="H227" s="169"/>
      <c r="I227" s="7"/>
      <c r="J227" s="7"/>
      <c r="K227" s="7"/>
      <c r="L227" s="7"/>
      <c r="M227" s="7"/>
      <c r="N227" s="7"/>
      <c r="O227" s="7"/>
    </row>
    <row r="228" spans="1:15" ht="58.9" customHeight="1" thickTop="1" thickBot="1" x14ac:dyDescent="0.35">
      <c r="A228" s="7"/>
      <c r="B228" s="7"/>
      <c r="C228" s="87"/>
      <c r="D228" s="7"/>
      <c r="E228" s="88" t="s">
        <v>79</v>
      </c>
      <c r="F228" s="88" t="s">
        <v>80</v>
      </c>
      <c r="G228" s="88" t="s">
        <v>79</v>
      </c>
      <c r="H228" s="88" t="s">
        <v>80</v>
      </c>
      <c r="I228" s="7"/>
      <c r="J228" s="164" t="s">
        <v>81</v>
      </c>
      <c r="K228" s="164"/>
      <c r="L228" s="165" t="s">
        <v>82</v>
      </c>
      <c r="M228" s="166"/>
      <c r="N228" s="166"/>
      <c r="O228" s="167"/>
    </row>
    <row r="229" spans="1:15" ht="18.75" thickTop="1" thickBot="1" x14ac:dyDescent="0.35">
      <c r="A229" s="46">
        <v>1</v>
      </c>
      <c r="B229" s="46"/>
      <c r="C229" s="80" t="s">
        <v>83</v>
      </c>
      <c r="D229" s="81" t="s">
        <v>3</v>
      </c>
      <c r="E229" s="90">
        <f>COUNTIFS('Falls Data Entry'!$H$6:$H$423,"&lt;&gt;"&amp;" ",'Falls Data Entry'!$O$6:$O$423,"="&amp;"Walking",'Falls Data Entry'!$H$6:$H$423,"&gt;="&amp;DATE(YEAR('Falls Summary'!$E$7),MONTH('Falls Summary'!$E$7),1),'Falls Data Entry'!$H$6:$H$423,"&lt;="&amp;EOMONTH(DATE(YEAR('Falls Summary'!$E$7),MONTH('Falls Summary'!$E$7),1),0))</f>
        <v>0</v>
      </c>
      <c r="F229" s="91" t="str">
        <f>IFERROR(E229/($E$225+$E$229+$E$233+$E$237+$E$241+$E$245+$E$249+$E$253)," ")</f>
        <v xml:space="preserve"> </v>
      </c>
      <c r="G229" s="92">
        <f>COUNTIFS('Falls Data Entry'!$H$6:$H$423,"&lt;&gt;"&amp;" ",'Falls Data Entry'!$O$6:$O$423,"="&amp;"Walking",'Falls Data Entry'!$H$6:$H$423,"&gt;="&amp;DATE(YEAR(VALUE('Falls Summary'!$E$8)),1,1),'Falls Data Entry'!$H$6:$H$423,"&lt;="&amp;DATE(YEAR(VALUE('Falls Summary'!$E$8)),12,31))</f>
        <v>0</v>
      </c>
      <c r="H229" s="93" t="str">
        <f>IFERROR(G229/($G$225+$G$229+$G$233+$G$237+$G$241+$G$245+$G$249+$G$253)," ")</f>
        <v xml:space="preserve"> </v>
      </c>
      <c r="I229" s="7"/>
      <c r="J229" s="7"/>
      <c r="K229" s="7"/>
      <c r="L229" s="46">
        <f>_xlfn.XLOOKUP(L228,$C$225:$C$252,$A$225:$A$252,"",0)</f>
        <v>5</v>
      </c>
      <c r="M229" s="7"/>
      <c r="N229" s="7"/>
      <c r="O229" s="7"/>
    </row>
    <row r="230" spans="1:15" ht="18" thickTop="1" x14ac:dyDescent="0.3">
      <c r="A230" s="46">
        <v>1</v>
      </c>
      <c r="B230" s="46"/>
      <c r="C230" s="83"/>
      <c r="D230" s="84" t="str">
        <f>IF(ISNONTEXT($E$7),"",$E$7)</f>
        <v>Unit 1</v>
      </c>
      <c r="E230" s="22">
        <f>COUNTIFS('Falls Data Entry'!$H$6:$H$423,"&lt;&gt;"&amp;" ",'Falls Data Entry'!$O$6:$O$423,"="&amp;"Walking",'Falls Data Entry'!$H$6:$H$423,"&gt;="&amp;DATE(YEAR('Falls Summary'!$E$7),MONTH('Falls Summary'!$E$7),1),'Falls Data Entry'!$H$6:$H$423,"&lt;="&amp;EOMONTH(DATE(YEAR('Falls Summary'!$E$7),MONTH('Falls Summary'!$E$7),1),0),'Falls Data Entry'!$A$6:$A$423,D230)</f>
        <v>0</v>
      </c>
      <c r="F230" s="82" t="str">
        <f>IFERROR(E230/($E$226+$E$230+$E$234+$E$238+$E$242+$E$246+$E$250+$E$254)," ")</f>
        <v xml:space="preserve"> </v>
      </c>
      <c r="G230" s="22">
        <f>COUNTIFS('Falls Data Entry'!$H$6:$H$423,"&lt;&gt;"&amp;" ",'Falls Data Entry'!$O$6:$O$423,"="&amp;"Walking",'Falls Data Entry'!$H$6:$H$423,"&gt;="&amp;DATE(YEAR(VALUE('Falls Summary'!$E$8)),1,1),'Falls Data Entry'!$H$6:$H$423,"&lt;="&amp;DATE(YEAR(VALUE('Falls Summary'!$E$8)),12,31),'Falls Data Entry'!$A$6:$A$423,D230)</f>
        <v>0</v>
      </c>
      <c r="H230" s="82" t="str">
        <f>IFERROR(G230/($G$226+$G$230+$G$234+$G$238+$G$242+$G$246+$G$250+$G$254)," ")</f>
        <v xml:space="preserve"> </v>
      </c>
      <c r="I230" s="7"/>
      <c r="J230" s="81"/>
      <c r="K230" s="85">
        <f>$E$9</f>
        <v>46174</v>
      </c>
      <c r="L230" s="79" t="s">
        <v>11</v>
      </c>
      <c r="M230" s="7"/>
      <c r="N230" s="7"/>
      <c r="O230" s="7"/>
    </row>
    <row r="231" spans="1:15" ht="17.25" x14ac:dyDescent="0.3">
      <c r="A231" s="46">
        <v>1</v>
      </c>
      <c r="B231" s="46"/>
      <c r="C231" s="83"/>
      <c r="D231" s="84" t="str">
        <f>IF(ISNONTEXT($F$7),"",$F$7)</f>
        <v/>
      </c>
      <c r="E231" s="22">
        <f>COUNTIFS('Falls Data Entry'!$H$6:$H$423,"&lt;&gt;"&amp;" ",'Falls Data Entry'!$O$6:$O$423,"="&amp;"Walking",'Falls Data Entry'!$H$6:$H$423,"&gt;="&amp;DATE(YEAR('Falls Summary'!$E$7),MONTH('Falls Summary'!$E$7),1),'Falls Data Entry'!$H$6:$H$423,"&lt;="&amp;EOMONTH(DATE(YEAR('Falls Summary'!$E$7),MONTH('Falls Summary'!$E$7),1),0),'Falls Data Entry'!$A$6:$A$423,D231)</f>
        <v>0</v>
      </c>
      <c r="F231" s="82"/>
      <c r="G231" s="22">
        <f>COUNTIFS('Falls Data Entry'!$H$6:$H$423,"&lt;&gt;"&amp;" ",'Falls Data Entry'!$O$6:$O$423,"="&amp;"Walking",'Falls Data Entry'!$H$6:$H$423,"&gt;="&amp;DATE(YEAR(VALUE('Falls Summary'!$E$8)),1,1),'Falls Data Entry'!$H$6:$H$423,"&lt;="&amp;DATE(YEAR(VALUE('Falls Summary'!$E$8)),12,31),'Falls Data Entry'!$A$6:$A$423,D231)</f>
        <v>0</v>
      </c>
      <c r="H231" s="82"/>
      <c r="I231" s="7"/>
      <c r="J231" s="84" t="str">
        <f>IF(ISNONTEXT($E$7),"",$E$7)</f>
        <v>Unit 1</v>
      </c>
      <c r="K231" s="86" t="str" cm="1">
        <f t="array" ref="K231">_xlfn.XLOOKUP(J231&amp;$L$229,$D$229:$D$256&amp;$A$229:$A$256,$F$229:$F$256,"",0)</f>
        <v xml:space="preserve"> </v>
      </c>
      <c r="L231" s="86" t="str" cm="1">
        <f t="array" ref="L231">_xlfn.XLOOKUP(J231&amp;$L$229,$D$229:$D$256&amp;$A$229:$A$256,$H$229:$H$256,"",0)</f>
        <v xml:space="preserve"> </v>
      </c>
      <c r="M231" s="7"/>
      <c r="N231" s="7"/>
      <c r="O231" s="7"/>
    </row>
    <row r="232" spans="1:15" ht="18" thickBot="1" x14ac:dyDescent="0.35">
      <c r="A232" s="46">
        <v>1</v>
      </c>
      <c r="B232" s="46"/>
      <c r="C232" s="83"/>
      <c r="D232" s="84" t="str">
        <f>IF(ISNONTEXT($G$7),"",$G$7)</f>
        <v/>
      </c>
      <c r="E232" s="22">
        <f>COUNTIFS('Falls Data Entry'!$H$6:$H$423,"&lt;&gt;"&amp;" ",'Falls Data Entry'!$O$6:$O$423,"="&amp;"Walking",'Falls Data Entry'!$H$6:$H$423,"&gt;="&amp;DATE(YEAR('Falls Summary'!$E$7),MONTH('Falls Summary'!$E$7),1),'Falls Data Entry'!$H$6:$H$423,"&lt;="&amp;EOMONTH(DATE(YEAR('Falls Summary'!$E$7),MONTH('Falls Summary'!$E$7),1),0),'Falls Data Entry'!$A$6:$A$423,D232)</f>
        <v>0</v>
      </c>
      <c r="F232" s="82"/>
      <c r="G232" s="22">
        <f>COUNTIFS('Falls Data Entry'!$H$6:$H$423,"&lt;&gt;"&amp;" ",'Falls Data Entry'!$O$6:$O$423,"="&amp;"Walking",'Falls Data Entry'!$H$6:$H$423,"&gt;="&amp;DATE(YEAR(VALUE('Falls Summary'!$E$8)),1,1),'Falls Data Entry'!$H$6:$H$423,"&lt;="&amp;DATE(YEAR(VALUE('Falls Summary'!$E$8)),12,31),'Falls Data Entry'!$A$6:$A$423,D232)</f>
        <v>0</v>
      </c>
      <c r="H232" s="82"/>
      <c r="I232" s="7"/>
      <c r="J232" s="84"/>
      <c r="K232" s="86"/>
      <c r="L232" s="86"/>
      <c r="M232" s="7"/>
      <c r="N232" s="7"/>
      <c r="O232" s="7"/>
    </row>
    <row r="233" spans="1:15" ht="18.75" thickTop="1" thickBot="1" x14ac:dyDescent="0.35">
      <c r="A233" s="46">
        <v>2</v>
      </c>
      <c r="B233" s="46"/>
      <c r="C233" s="80" t="s">
        <v>84</v>
      </c>
      <c r="D233" s="81" t="s">
        <v>3</v>
      </c>
      <c r="E233" s="90">
        <f>COUNTIFS('Falls Data Entry'!$H$6:$H$423,"&lt;&gt;"&amp;" ",'Falls Data Entry'!$O$6:$O$423,"="&amp;"Transfer",'Falls Data Entry'!$H$6:$H$423,"&gt;="&amp;DATE(YEAR('Falls Summary'!$E$7),MONTH('Falls Summary'!$E$7),1),'Falls Data Entry'!$H$6:$H$423,"&lt;="&amp;EOMONTH(DATE(YEAR('Falls Summary'!$E$7),MONTH('Falls Summary'!$E$7),1),0))</f>
        <v>0</v>
      </c>
      <c r="F233" s="91" t="str">
        <f>IFERROR(E233/($E$225+$E$229+$E$233+$E$237+$E$241+$E$245+$E$249+$E$253)," ")</f>
        <v xml:space="preserve"> </v>
      </c>
      <c r="G233" s="92">
        <f>COUNTIFS('Falls Data Entry'!$H$6:$H$423,"&lt;&gt;"&amp;" ",'Falls Data Entry'!$O$6:$O$423,"="&amp;"Transfer",'Falls Data Entry'!$H$6:$H$423,"&gt;="&amp;DATE(YEAR(VALUE('Falls Summary'!$E$8)),1,1),'Falls Data Entry'!$H$6:$H$423,"&lt;="&amp;DATE(YEAR(VALUE('Falls Summary'!$E$8)),12,31))</f>
        <v>0</v>
      </c>
      <c r="H233" s="93" t="str">
        <f>IFERROR(G233/($G$225+$G$229+$G$233+$G$237+$G$241+$G$245+$G$249+$G$253)," ")</f>
        <v xml:space="preserve"> </v>
      </c>
      <c r="I233" s="7"/>
      <c r="J233" s="84"/>
      <c r="K233" s="86"/>
      <c r="L233" s="86"/>
      <c r="M233" s="7"/>
      <c r="N233" s="7"/>
      <c r="O233" s="7"/>
    </row>
    <row r="234" spans="1:15" ht="18" thickTop="1" x14ac:dyDescent="0.3">
      <c r="A234" s="46">
        <v>2</v>
      </c>
      <c r="B234" s="46"/>
      <c r="C234" s="83"/>
      <c r="D234" s="84" t="str">
        <f>IF(ISNONTEXT($E$7),"",$E$7)</f>
        <v>Unit 1</v>
      </c>
      <c r="E234" s="22">
        <f>COUNTIFS('Falls Data Entry'!$H$6:$H$423,"&lt;&gt;"&amp;" ",'Falls Data Entry'!$O$6:$O$423,"="&amp;"Transfer",'Falls Data Entry'!$H$6:$H$423,"&gt;="&amp;DATE(YEAR('Falls Summary'!$E$7),MONTH('Falls Summary'!$E$7),1),'Falls Data Entry'!$H$6:$H$423,"&lt;="&amp;EOMONTH(DATE(YEAR('Falls Summary'!$E$7),MONTH('Falls Summary'!$E$7),1),0),'Falls Data Entry'!$A$6:$A$423,D234)</f>
        <v>0</v>
      </c>
      <c r="F234" s="82" t="str">
        <f>IFERROR(E234/($E$226+$E$230+$E$234+$E$238+$E$242+$E$246+$E$250+$E$253)," ")</f>
        <v xml:space="preserve"> </v>
      </c>
      <c r="G234" s="22">
        <f>COUNTIFS('Falls Data Entry'!$H$6:$H$423,"&lt;&gt;"&amp;" ",'Falls Data Entry'!$O$6:$O$423,"="&amp;"Transfer",'Falls Data Entry'!$H$6:$H$423,"&gt;="&amp;DATE(YEAR(VALUE('Falls Summary'!$E$8)),1,1),'Falls Data Entry'!$H$6:$H$423,"&lt;="&amp;DATE(YEAR(VALUE('Falls Summary'!$E$8)),12,31),'Falls Data Entry'!$A$6:$A$423,D234)</f>
        <v>0</v>
      </c>
      <c r="H234" s="82" t="str">
        <f>IFERROR(G234/($G$226+$G$230+$G$234+$G$238+$G$242+$G$246+$G$250+$G$254)," ")</f>
        <v xml:space="preserve"> </v>
      </c>
      <c r="I234" s="7"/>
      <c r="J234" s="84" t="s">
        <v>3</v>
      </c>
      <c r="K234" s="45" t="str" cm="1">
        <f t="array" ref="K234">_xlfn.XLOOKUP(J234&amp;$L$229,$D$229:$D$256&amp;$A$229:$A$256,$F$229:$F$256,"",0)</f>
        <v xml:space="preserve"> </v>
      </c>
      <c r="L234" s="45" t="str" cm="1">
        <f t="array" ref="L234">_xlfn.XLOOKUP(J234&amp;$L$229,$D$229:$D$256&amp;$A$229:$A$256,$H$229:$H$256,"",0)</f>
        <v xml:space="preserve"> </v>
      </c>
      <c r="M234" s="7"/>
      <c r="N234" s="7"/>
      <c r="O234" s="7"/>
    </row>
    <row r="235" spans="1:15" ht="17.25" x14ac:dyDescent="0.3">
      <c r="A235" s="46">
        <v>2</v>
      </c>
      <c r="B235" s="46"/>
      <c r="C235" s="83"/>
      <c r="D235" s="84" t="str">
        <f>IF(ISNONTEXT($F$7),"",$F$7)</f>
        <v/>
      </c>
      <c r="E235" s="22">
        <f>COUNTIFS('Falls Data Entry'!$H$6:$H$423,"&lt;&gt;"&amp;" ",'Falls Data Entry'!$O$6:$O$423,"="&amp;"Transfer",'Falls Data Entry'!$H$6:$H$423,"&gt;="&amp;DATE(YEAR('Falls Summary'!$E$7),MONTH('Falls Summary'!$E$7),1),'Falls Data Entry'!$H$6:$H$423,"&lt;="&amp;EOMONTH(DATE(YEAR('Falls Summary'!$E$7),MONTH('Falls Summary'!$E$7),1),0),'Falls Data Entry'!$A$6:$A$423,D235)</f>
        <v>0</v>
      </c>
      <c r="F235" s="82"/>
      <c r="G235" s="22">
        <f>COUNTIFS('Falls Data Entry'!$H$6:$H$423,"&lt;&gt;"&amp;" ",'Falls Data Entry'!$O$6:$O$423,"="&amp;"Transfer",'Falls Data Entry'!$H$6:$H$423,"&gt;="&amp;DATE(YEAR(VALUE('Falls Summary'!$E$8)),1,1),'Falls Data Entry'!$H$6:$H$423,"&lt;="&amp;DATE(YEAR(VALUE('Falls Summary'!$E$8)),12,31),'Falls Data Entry'!$A$6:$A$423,D235)</f>
        <v>0</v>
      </c>
      <c r="H235" s="82"/>
      <c r="I235" s="7"/>
      <c r="J235" s="7"/>
      <c r="K235" s="7"/>
      <c r="L235" s="7"/>
      <c r="M235" s="7"/>
      <c r="N235" s="7"/>
      <c r="O235" s="7"/>
    </row>
    <row r="236" spans="1:15" ht="18" thickBot="1" x14ac:dyDescent="0.35">
      <c r="A236" s="46">
        <v>2</v>
      </c>
      <c r="B236" s="46"/>
      <c r="C236" s="83"/>
      <c r="D236" s="84" t="str">
        <f>IF(ISNONTEXT($G$7),"",$G$7)</f>
        <v/>
      </c>
      <c r="E236" s="22">
        <f>COUNTIFS('Falls Data Entry'!$H$6:$H$423,"&lt;&gt;"&amp;" ",'Falls Data Entry'!$O$6:$O$423,"="&amp;"Transfer",'Falls Data Entry'!$H$6:$H$423,"&gt;="&amp;DATE(YEAR('Falls Summary'!$E$7),MONTH('Falls Summary'!$E$7),1),'Falls Data Entry'!$H$6:$H$423,"&lt;="&amp;EOMONTH(DATE(YEAR('Falls Summary'!$E$7),MONTH('Falls Summary'!$E$7),1),0),'Falls Data Entry'!$A$6:$A$423,D236)</f>
        <v>0</v>
      </c>
      <c r="F236" s="82"/>
      <c r="G236" s="22">
        <f>COUNTIFS('Falls Data Entry'!$H$6:$H$423,"&lt;&gt;"&amp;" ",'Falls Data Entry'!$O$6:$O$423,"="&amp;"Transfer",'Falls Data Entry'!$H$6:$H$423,"&gt;="&amp;DATE(YEAR(VALUE('Falls Summary'!$E$8)),1,1),'Falls Data Entry'!$H$6:$H$423,"&lt;="&amp;DATE(YEAR(VALUE('Falls Summary'!$E$8)),12,31),'Falls Data Entry'!$A$6:$A$423,D236)</f>
        <v>0</v>
      </c>
      <c r="H236" s="82"/>
      <c r="I236" s="7"/>
      <c r="J236" s="7"/>
      <c r="K236" s="7"/>
      <c r="L236" s="7"/>
      <c r="M236" s="7"/>
      <c r="N236" s="7"/>
      <c r="O236" s="7"/>
    </row>
    <row r="237" spans="1:15" ht="18.75" thickTop="1" thickBot="1" x14ac:dyDescent="0.35">
      <c r="A237" s="46">
        <v>3</v>
      </c>
      <c r="B237" s="46"/>
      <c r="C237" s="80" t="s">
        <v>85</v>
      </c>
      <c r="D237" s="81" t="s">
        <v>3</v>
      </c>
      <c r="E237" s="90">
        <f>COUNTIFS('Falls Data Entry'!$H$6:$H$423,"&lt;&gt;"&amp;" ",'Falls Data Entry'!$O$6:$O$423,"="&amp;"Bed",'Falls Data Entry'!$H$6:$H$423,"&gt;="&amp;DATE(YEAR('Falls Summary'!$E$7),MONTH('Falls Summary'!$E$7),1),'Falls Data Entry'!$H$6:$H$423,"&lt;="&amp;EOMONTH(DATE(YEAR('Falls Summary'!$E$7),MONTH('Falls Summary'!$E$7),1),0))</f>
        <v>0</v>
      </c>
      <c r="F237" s="91" t="str">
        <f>IFERROR(E237/($E$225+$E$229+$E$233+$E$237+$E$241+$E$245+$E$249+$E$253)," ")</f>
        <v xml:space="preserve"> </v>
      </c>
      <c r="G237" s="92">
        <f>COUNTIFS('Falls Data Entry'!$H$6:$H$423,"&lt;&gt;"&amp;" ",'Falls Data Entry'!$O$6:$O$423,"="&amp;"Bed",'Falls Data Entry'!$H$6:$H$423,"&gt;="&amp;DATE(YEAR(VALUE('Falls Summary'!$E$8)),1,1),'Falls Data Entry'!$H$6:$H$423,"&lt;="&amp;DATE(YEAR(VALUE('Falls Summary'!$E$8)),12,31))</f>
        <v>0</v>
      </c>
      <c r="H237" s="93" t="str">
        <f>IFERROR(G237/($G$225+$G$229+$G$233+$G$237+$G$241+$G$245+$G$249+$G$253)," ")</f>
        <v xml:space="preserve"> </v>
      </c>
      <c r="I237" s="7"/>
      <c r="J237" s="7"/>
      <c r="K237" s="7"/>
      <c r="L237" s="7"/>
      <c r="M237" s="7"/>
      <c r="N237" s="7"/>
      <c r="O237" s="7"/>
    </row>
    <row r="238" spans="1:15" ht="18" thickTop="1" x14ac:dyDescent="0.3">
      <c r="A238" s="46">
        <v>3</v>
      </c>
      <c r="B238" s="46"/>
      <c r="C238" s="83"/>
      <c r="D238" s="84" t="str">
        <f>IF(ISNONTEXT($E$7),"",$E$7)</f>
        <v>Unit 1</v>
      </c>
      <c r="E238" s="22">
        <f>COUNTIFS('Falls Data Entry'!$H$6:$H$423,"&lt;&gt;"&amp;" ",'Falls Data Entry'!$O$6:$O$423,"="&amp;"Bed",'Falls Data Entry'!$H$6:$H$423,"&gt;="&amp;DATE(YEAR('Falls Summary'!$E$7),MONTH('Falls Summary'!$E$7),1),'Falls Data Entry'!$H$6:$H$423,"&lt;="&amp;EOMONTH(DATE(YEAR('Falls Summary'!$E$7),MONTH('Falls Summary'!$E$7),1),0),'Falls Data Entry'!$A$6:$A$423,D238)</f>
        <v>0</v>
      </c>
      <c r="F238" s="82" t="str">
        <f>IFERROR(E238/($E$226+$E$230+$E$234+$E$238+$E$242+$E$246+$E$250+$E$254)," ")</f>
        <v xml:space="preserve"> </v>
      </c>
      <c r="G238" s="22">
        <f>COUNTIFS('Falls Data Entry'!$H$6:$H$423,"&lt;&gt;"&amp;" ",'Falls Data Entry'!$O$6:$O$423,"="&amp;"Bed",'Falls Data Entry'!$H$6:$H$423,"&gt;="&amp;DATE(YEAR(VALUE('Falls Summary'!$E$8)),1,1),'Falls Data Entry'!$H$6:$H$423,"&lt;="&amp;DATE(YEAR(VALUE('Falls Summary'!$E$8)),12,31),'Falls Data Entry'!$A$6:$A$423,D238)</f>
        <v>0</v>
      </c>
      <c r="H238" s="82" t="str">
        <f>IFERROR(G238/($G$226+$G$230+$G$234+$G$238+$G$242+$G$246+$G$250+$G$254)," ")</f>
        <v xml:space="preserve"> </v>
      </c>
      <c r="I238" s="7"/>
      <c r="J238" s="7"/>
      <c r="K238" s="7"/>
      <c r="L238" s="7"/>
      <c r="M238" s="7"/>
      <c r="N238" s="7"/>
      <c r="O238" s="7"/>
    </row>
    <row r="239" spans="1:15" ht="17.25" x14ac:dyDescent="0.3">
      <c r="A239" s="46">
        <v>3</v>
      </c>
      <c r="B239" s="46"/>
      <c r="C239" s="83"/>
      <c r="D239" s="84" t="str">
        <f>IF(ISNONTEXT($F$7),"",$F$7)</f>
        <v/>
      </c>
      <c r="E239" s="22">
        <f>COUNTIFS('Falls Data Entry'!$H$6:$H$423,"&lt;&gt;"&amp;" ",'Falls Data Entry'!$O$6:$O$423,"="&amp;"Bed",'Falls Data Entry'!$H$6:$H$423,"&gt;="&amp;DATE(YEAR('Falls Summary'!$E$7),MONTH('Falls Summary'!$E$7),1),'Falls Data Entry'!$H$6:$H$423,"&lt;="&amp;EOMONTH(DATE(YEAR('Falls Summary'!$E$7),MONTH('Falls Summary'!$E$7),1),0),'Falls Data Entry'!$A$6:$A$423,D239)</f>
        <v>0</v>
      </c>
      <c r="F239" s="82"/>
      <c r="G239" s="22">
        <f>COUNTIFS('Falls Data Entry'!$H$6:$H$423,"&lt;&gt;"&amp;" ",'Falls Data Entry'!$O$6:$O$423,"="&amp;"Bed",'Falls Data Entry'!$H$6:$H$423,"&gt;="&amp;DATE(YEAR(VALUE('Falls Summary'!$E$8)),1,1),'Falls Data Entry'!$H$6:$H$423,"&lt;="&amp;DATE(YEAR(VALUE('Falls Summary'!$E$8)),12,31),'Falls Data Entry'!$A$6:$A$423,D239)</f>
        <v>0</v>
      </c>
      <c r="H239" s="82"/>
      <c r="I239" s="7"/>
      <c r="J239" s="7"/>
      <c r="K239" s="7"/>
      <c r="L239" s="7"/>
      <c r="M239" s="7"/>
      <c r="N239" s="7"/>
      <c r="O239" s="7"/>
    </row>
    <row r="240" spans="1:15" ht="18" thickBot="1" x14ac:dyDescent="0.35">
      <c r="A240" s="46">
        <v>3</v>
      </c>
      <c r="B240" s="46"/>
      <c r="C240" s="83"/>
      <c r="D240" s="84" t="str">
        <f>IF(ISNONTEXT($G$7),"",$G$7)</f>
        <v/>
      </c>
      <c r="E240" s="22">
        <f>COUNTIFS('Falls Data Entry'!$H$6:$H$423,"&lt;&gt;"&amp;" ",'Falls Data Entry'!$O$6:$O$423,"="&amp;"Bed",'Falls Data Entry'!$H$6:$H$423,"&gt;="&amp;DATE(YEAR('Falls Summary'!$E$7),MONTH('Falls Summary'!$E$7),1),'Falls Data Entry'!$H$6:$H$423,"&lt;="&amp;EOMONTH(DATE(YEAR('Falls Summary'!$E$7),MONTH('Falls Summary'!$E$7),1),0),'Falls Data Entry'!$A$6:$A$423,D240)</f>
        <v>0</v>
      </c>
      <c r="F240" s="82"/>
      <c r="G240" s="22">
        <f>COUNTIFS('Falls Data Entry'!$H$6:$H$423,"&lt;&gt;"&amp;" ",'Falls Data Entry'!$O$6:$O$423,"="&amp;"Bed",'Falls Data Entry'!$H$6:$H$423,"&gt;="&amp;DATE(YEAR(VALUE('Falls Summary'!$E$8)),1,1),'Falls Data Entry'!$H$6:$H$423,"&lt;="&amp;DATE(YEAR(VALUE('Falls Summary'!$E$8)),12,31),'Falls Data Entry'!$A$6:$A$423,D240)</f>
        <v>0</v>
      </c>
      <c r="H240" s="82"/>
      <c r="I240" s="7"/>
      <c r="J240" s="7"/>
      <c r="K240" s="7"/>
      <c r="L240" s="7"/>
      <c r="M240" s="7"/>
      <c r="N240" s="7"/>
      <c r="O240" s="7"/>
    </row>
    <row r="241" spans="1:8" ht="18.75" thickTop="1" thickBot="1" x14ac:dyDescent="0.35">
      <c r="A241" s="46">
        <v>4</v>
      </c>
      <c r="B241" s="46"/>
      <c r="C241" s="80" t="s">
        <v>86</v>
      </c>
      <c r="D241" s="81" t="s">
        <v>3</v>
      </c>
      <c r="E241" s="90">
        <f>COUNTIFS('Falls Data Entry'!$H$6:$H$423,"&lt;&gt;"&amp;" ",'Falls Data Entry'!$O$6:$O$423,"="&amp;"Chair",'Falls Data Entry'!$H$6:$H$423,"&gt;="&amp;DATE(YEAR('Falls Summary'!$E$7),MONTH('Falls Summary'!$E$7),1),'Falls Data Entry'!$H$6:$H$423,"&lt;="&amp;EOMONTH(DATE(YEAR('Falls Summary'!$E$7),MONTH('Falls Summary'!$E$7),1),0))</f>
        <v>0</v>
      </c>
      <c r="F241" s="91" t="str">
        <f>IFERROR(E241/($E$225+$E$229+$E$233+$E$237+$E$241+$E$245+$E$249+$E$253)," ")</f>
        <v xml:space="preserve"> </v>
      </c>
      <c r="G241" s="92">
        <f>COUNTIFS('Falls Data Entry'!$H$6:$H$423,"&lt;&gt;"&amp;" ",'Falls Data Entry'!$O$6:$O$423,"="&amp;"Chair",'Falls Data Entry'!$H$6:$H$423,"&gt;="&amp;DATE(YEAR(VALUE('Falls Summary'!$E$8)),1,1),'Falls Data Entry'!$H$6:$H$423,"&lt;="&amp;DATE(YEAR(VALUE('Falls Summary'!$E$8)),12,31))</f>
        <v>0</v>
      </c>
      <c r="H241" s="93" t="str">
        <f>IFERROR(G241/($G$225+$G$229+$G$233+$G$237+$G$241+$G$245+$G$249+$G$253)," ")</f>
        <v xml:space="preserve"> </v>
      </c>
    </row>
    <row r="242" spans="1:8" ht="18" thickTop="1" x14ac:dyDescent="0.3">
      <c r="A242" s="46">
        <v>4</v>
      </c>
      <c r="B242" s="46"/>
      <c r="C242" s="87"/>
      <c r="D242" s="84" t="str">
        <f>IF(ISNONTEXT($E$7),"",$E$7)</f>
        <v>Unit 1</v>
      </c>
      <c r="E242" s="22">
        <f>COUNTIFS('Falls Data Entry'!$H$6:$H$423,"&lt;&gt;"&amp;" ",'Falls Data Entry'!$O$6:$O$423,"="&amp;"Chair",'Falls Data Entry'!$H$6:$H$423,"&gt;="&amp;DATE(YEAR('Falls Summary'!$E$7),MONTH('Falls Summary'!$E$7),1),'Falls Data Entry'!$H$6:$H$423,"&lt;="&amp;EOMONTH(DATE(YEAR('Falls Summary'!$E$7),MONTH('Falls Summary'!$E$7),1),0),'Falls Data Entry'!$A$6:$A$423,D242)</f>
        <v>0</v>
      </c>
      <c r="F242" s="82" t="str">
        <f>IFERROR(E242/($E$226+$E$230+$E$234+$E$238+$E$242+$E$246+$E$250+$E$254)," ")</f>
        <v xml:space="preserve"> </v>
      </c>
      <c r="G242" s="22">
        <f>COUNTIFS('Falls Data Entry'!$H$6:$H$423,"&lt;&gt;"&amp;" ",'Falls Data Entry'!$O$6:$O$423,"="&amp;"Chair",'Falls Data Entry'!$H$6:$H$423,"&gt;="&amp;DATE(YEAR(VALUE('Falls Summary'!$E$8)),1,1),'Falls Data Entry'!$H$6:$H$423,"&lt;="&amp;DATE(YEAR(VALUE('Falls Summary'!$E$8)),12,31),'Falls Data Entry'!$A$6:$A$423,D242)</f>
        <v>0</v>
      </c>
      <c r="H242" s="82" t="str">
        <f>IFERROR(G242/($G$226+$G$230+$G$234+$G$238+$G$242+$G$246+$G$250+$G$254)," ")</f>
        <v xml:space="preserve"> </v>
      </c>
    </row>
    <row r="243" spans="1:8" ht="17.25" x14ac:dyDescent="0.3">
      <c r="A243" s="46">
        <v>4</v>
      </c>
      <c r="B243" s="46"/>
      <c r="C243" s="87"/>
      <c r="D243" s="84" t="str">
        <f>IF(ISNONTEXT($F$7),"",$F$7)</f>
        <v/>
      </c>
      <c r="E243" s="22">
        <f>COUNTIFS('Falls Data Entry'!$H$6:$H$423,"&lt;&gt;"&amp;" ",'Falls Data Entry'!$O$6:$O$423,"="&amp;"Chair",'Falls Data Entry'!$H$6:$H$423,"&gt;="&amp;DATE(YEAR('Falls Summary'!$E$7),MONTH('Falls Summary'!$E$7),1),'Falls Data Entry'!$H$6:$H$423,"&lt;="&amp;EOMONTH(DATE(YEAR('Falls Summary'!$E$7),MONTH('Falls Summary'!$E$7),1),0),'Falls Data Entry'!$A$6:$A$423,D243)</f>
        <v>0</v>
      </c>
      <c r="F243" s="82"/>
      <c r="G243" s="22">
        <f>COUNTIFS('Falls Data Entry'!$H$6:$H$423,"&lt;&gt;"&amp;" ",'Falls Data Entry'!$O$6:$O$423,"="&amp;"Chair",'Falls Data Entry'!$H$6:$H$423,"&gt;="&amp;DATE(YEAR(VALUE('Falls Summary'!$E$8)),1,1),'Falls Data Entry'!$H$6:$H$423,"&lt;="&amp;DATE(YEAR(VALUE('Falls Summary'!$E$8)),12,31),'Falls Data Entry'!$A$6:$A$423,D243)</f>
        <v>0</v>
      </c>
      <c r="H243" s="82"/>
    </row>
    <row r="244" spans="1:8" ht="18" thickBot="1" x14ac:dyDescent="0.35">
      <c r="A244" s="46">
        <v>4</v>
      </c>
      <c r="B244" s="46"/>
      <c r="C244" s="87"/>
      <c r="D244" s="84" t="str">
        <f>IF(ISNONTEXT($G$7),"",$G$7)</f>
        <v/>
      </c>
      <c r="E244" s="22">
        <f>COUNTIFS('Falls Data Entry'!$H$6:$H$423,"&lt;&gt;"&amp;" ",'Falls Data Entry'!$O$6:$O$423,"="&amp;"Chair",'Falls Data Entry'!$H$6:$H$423,"&gt;="&amp;DATE(YEAR('Falls Summary'!$E$7),MONTH('Falls Summary'!$E$7),1),'Falls Data Entry'!$H$6:$H$423,"&lt;="&amp;EOMONTH(DATE(YEAR('Falls Summary'!$E$7),MONTH('Falls Summary'!$E$7),1),0),'Falls Data Entry'!$A$6:$A$423,D244)</f>
        <v>0</v>
      </c>
      <c r="F244" s="82"/>
      <c r="G244" s="22">
        <f>COUNTIFS('Falls Data Entry'!$H$6:$H$423,"&lt;&gt;"&amp;" ",'Falls Data Entry'!$O$6:$O$423,"="&amp;"Chair",'Falls Data Entry'!$H$6:$H$423,"&gt;="&amp;DATE(YEAR(VALUE('Falls Summary'!$E$8)),1,1),'Falls Data Entry'!$H$6:$H$423,"&lt;="&amp;DATE(YEAR(VALUE('Falls Summary'!$E$8)),12,31),'Falls Data Entry'!$A$6:$A$423,D244)</f>
        <v>0</v>
      </c>
      <c r="H244" s="82"/>
    </row>
    <row r="245" spans="1:8" ht="18.75" thickTop="1" thickBot="1" x14ac:dyDescent="0.35">
      <c r="A245" s="46">
        <v>5</v>
      </c>
      <c r="B245" s="46"/>
      <c r="C245" s="80" t="s">
        <v>82</v>
      </c>
      <c r="D245" s="81" t="s">
        <v>3</v>
      </c>
      <c r="E245" s="90">
        <f>COUNTIFS('Falls Data Entry'!$H$6:$H$423,"&lt;&gt;"&amp;" ",'Falls Data Entry'!$O$6:$O$423,"="&amp;"Toileting w/ Assist",'Falls Data Entry'!$H$6:$H$423,"&gt;="&amp;DATE(YEAR('Falls Summary'!$E$7),MONTH('Falls Summary'!$E$7),1),'Falls Data Entry'!$H$6:$H$423,"&lt;="&amp;EOMONTH(DATE(YEAR('Falls Summary'!$E$7),MONTH('Falls Summary'!$E$7),1),0))</f>
        <v>0</v>
      </c>
      <c r="F245" s="91" t="str">
        <f>IFERROR(E245/($E$225+$E$229+$E$233+$E$237+$E$241+$E$245+$E$249+$E$253)," ")</f>
        <v xml:space="preserve"> </v>
      </c>
      <c r="G245" s="92">
        <f>COUNTIFS('Falls Data Entry'!$H$6:$H$423,"&lt;&gt;"&amp;" ",'Falls Data Entry'!$O$6:$O$423,"="&amp;"Toileting w/ Assist",'Falls Data Entry'!$H$6:$H$423,"&gt;="&amp;DATE(YEAR(VALUE('Falls Summary'!$E$8)),1,1),'Falls Data Entry'!$H$6:$H$423,"&lt;="&amp;DATE(YEAR(VALUE('Falls Summary'!$E$8)),12,31))</f>
        <v>0</v>
      </c>
      <c r="H245" s="93" t="str">
        <f>IFERROR(G245/($G$225+$G$229+$G$233+$G$237+$G$241+$G$245+$G$249+$G$253)," ")</f>
        <v xml:space="preserve"> </v>
      </c>
    </row>
    <row r="246" spans="1:8" ht="18" thickTop="1" x14ac:dyDescent="0.3">
      <c r="A246" s="46">
        <v>5</v>
      </c>
      <c r="B246" s="46"/>
      <c r="C246" s="87"/>
      <c r="D246" s="84" t="str">
        <f>IF(ISNONTEXT($E$7),"",$E$7)</f>
        <v>Unit 1</v>
      </c>
      <c r="E246" s="22">
        <f>COUNTIFS('Falls Data Entry'!$H$6:$H$423,"&lt;&gt;"&amp;" ",'Falls Data Entry'!$O$6:$O$423,"="&amp;"Toileting w/ Assist",'Falls Data Entry'!$H$6:$H$423,"&gt;="&amp;DATE(YEAR('Falls Summary'!$E$7),MONTH('Falls Summary'!$E$7),1),'Falls Data Entry'!$H$6:$H$423,"&lt;="&amp;EOMONTH(DATE(YEAR('Falls Summary'!$E$7),MONTH('Falls Summary'!$E$7),1),0),'Falls Data Entry'!$A$6:$A$423,D246)</f>
        <v>0</v>
      </c>
      <c r="F246" s="82" t="str">
        <f>IFERROR(E246/($E$226+$E$230+$E$234+$E$238+$E$242+$E$246+$E$250+$E$254)," ")</f>
        <v xml:space="preserve"> </v>
      </c>
      <c r="G246" s="22">
        <f>COUNTIFS('Falls Data Entry'!$H$6:$H$423,"&lt;&gt;"&amp;" ",'Falls Data Entry'!$O$6:$O$423,"="&amp;"Toileting w/ Assist",'Falls Data Entry'!$H$6:$H$423,"&gt;="&amp;DATE(YEAR(VALUE('Falls Summary'!$E$8)),1,1),'Falls Data Entry'!$H$6:$H$423,"&lt;="&amp;DATE(YEAR(VALUE('Falls Summary'!$E$8)),12,31),'Falls Data Entry'!$A$6:$A$423,D246)</f>
        <v>0</v>
      </c>
      <c r="H246" s="82" t="str">
        <f>IFERROR(G246/($G$226+$G$230+$G$234+$G$238+$G$242+$G$246+$G$250+$G$254)," ")</f>
        <v xml:space="preserve"> </v>
      </c>
    </row>
    <row r="247" spans="1:8" ht="17.25" x14ac:dyDescent="0.3">
      <c r="A247" s="46">
        <v>5</v>
      </c>
      <c r="B247" s="46"/>
      <c r="C247" s="87"/>
      <c r="D247" s="84" t="str">
        <f>IF(ISNONTEXT($F$7),"",$F$7)</f>
        <v/>
      </c>
      <c r="E247" s="22">
        <f>COUNTIFS('Falls Data Entry'!$H$6:$H$423,"&lt;&gt;"&amp;" ",'Falls Data Entry'!$O$6:$O$423,"="&amp;"Toileting w/ Assist",'Falls Data Entry'!$H$6:$H$423,"&gt;="&amp;DATE(YEAR('Falls Summary'!$E$7),MONTH('Falls Summary'!$E$7),1),'Falls Data Entry'!$H$6:$H$423,"&lt;="&amp;EOMONTH(DATE(YEAR('Falls Summary'!$E$7),MONTH('Falls Summary'!$E$7),1),0),'Falls Data Entry'!$A$6:$A$423,D247)</f>
        <v>0</v>
      </c>
      <c r="F247" s="82"/>
      <c r="G247" s="22">
        <f>COUNTIFS('Falls Data Entry'!$H$6:$H$423,"&lt;&gt;"&amp;" ",'Falls Data Entry'!$O$6:$O$423,"="&amp;"Toileting w/ Assist",'Falls Data Entry'!$H$6:$H$423,"&gt;="&amp;DATE(YEAR(VALUE('Falls Summary'!$E$8)),1,1),'Falls Data Entry'!$H$6:$H$423,"&lt;="&amp;DATE(YEAR(VALUE('Falls Summary'!$E$8)),12,31),'Falls Data Entry'!$A$6:$A$423,D247)</f>
        <v>0</v>
      </c>
      <c r="H247" s="82"/>
    </row>
    <row r="248" spans="1:8" ht="18" thickBot="1" x14ac:dyDescent="0.35">
      <c r="A248" s="46">
        <v>5</v>
      </c>
      <c r="B248" s="46"/>
      <c r="C248" s="87"/>
      <c r="D248" s="84" t="str">
        <f>IF(ISNONTEXT($G$7),"",$G$7)</f>
        <v/>
      </c>
      <c r="E248" s="22">
        <f>COUNTIFS('Falls Data Entry'!$H$6:$H$423,"&lt;&gt;"&amp;" ",'Falls Data Entry'!$O$6:$O$423,"="&amp;"Toileting w/ Assist",'Falls Data Entry'!$H$6:$H$423,"&gt;="&amp;DATE(YEAR('Falls Summary'!$E$7),MONTH('Falls Summary'!$E$7),1),'Falls Data Entry'!$H$6:$H$423,"&lt;="&amp;EOMONTH(DATE(YEAR('Falls Summary'!$E$7),MONTH('Falls Summary'!$E$7),1),0),'Falls Data Entry'!$A$6:$A$423,D248)</f>
        <v>0</v>
      </c>
      <c r="F248" s="82"/>
      <c r="G248" s="22">
        <f>COUNTIFS('Falls Data Entry'!$H$6:$H$423,"&lt;&gt;"&amp;" ",'Falls Data Entry'!$O$6:$O$423,"="&amp;"Toileting w/ Assist",'Falls Data Entry'!$H$6:$H$423,"&gt;="&amp;DATE(YEAR(VALUE('Falls Summary'!$E$8)),1,1),'Falls Data Entry'!$H$6:$H$423,"&lt;="&amp;DATE(YEAR(VALUE('Falls Summary'!$E$8)),12,31),'Falls Data Entry'!$A$6:$A$423,D248)</f>
        <v>0</v>
      </c>
      <c r="H248" s="82"/>
    </row>
    <row r="249" spans="1:8" ht="18.75" thickTop="1" thickBot="1" x14ac:dyDescent="0.35">
      <c r="A249" s="46">
        <v>6</v>
      </c>
      <c r="B249" s="46"/>
      <c r="C249" s="80" t="s">
        <v>87</v>
      </c>
      <c r="D249" s="81" t="s">
        <v>3</v>
      </c>
      <c r="E249" s="90">
        <f>COUNTIFS('Falls Data Entry'!$H$6:$H$423,"&lt;&gt;"&amp;" ",'Falls Data Entry'!$O$6:$O$423,"="&amp;"Toileting w/o Assist",'Falls Data Entry'!$H$6:$H$423,"&gt;="&amp;DATE(YEAR('Falls Summary'!$E$7),MONTH('Falls Summary'!$E$7),1),'Falls Data Entry'!$H$6:$H$423,"&lt;="&amp;EOMONTH(DATE(YEAR('Falls Summary'!$E$7),MONTH('Falls Summary'!$E$7),1),0))</f>
        <v>0</v>
      </c>
      <c r="F249" s="91" t="str">
        <f>IFERROR(E249/($E$225+$E$229+$E$233+$E$237+$E$241+$E$245+$E$249+$E$253)," ")</f>
        <v xml:space="preserve"> </v>
      </c>
      <c r="G249" s="92">
        <f>COUNTIFS('Falls Data Entry'!$H$6:$H$423,"&lt;&gt;"&amp;" ",'Falls Data Entry'!$O$6:$O$423,"="&amp;"Toileting w/o Assist",'Falls Data Entry'!$H$6:$H$423,"&gt;="&amp;DATE(YEAR(VALUE('Falls Summary'!$E$8)),1,1),'Falls Data Entry'!$H$6:$H$423,"&lt;="&amp;DATE(YEAR(VALUE('Falls Summary'!$E$8)),12,31))</f>
        <v>0</v>
      </c>
      <c r="H249" s="93" t="str">
        <f>IFERROR(G249/($G$225+$G$229+$G$233+$G$237+$G$241+$G$245+$G$249+$G$253)," ")</f>
        <v xml:space="preserve"> </v>
      </c>
    </row>
    <row r="250" spans="1:8" ht="18" thickTop="1" x14ac:dyDescent="0.3">
      <c r="A250" s="46">
        <v>6</v>
      </c>
      <c r="B250" s="46" t="s">
        <v>83</v>
      </c>
      <c r="C250" s="87"/>
      <c r="D250" s="84" t="str">
        <f>IF(ISNONTEXT($E$7),"",$E$7)</f>
        <v>Unit 1</v>
      </c>
      <c r="E250" s="22">
        <f>COUNTIFS('Falls Data Entry'!$H$6:$H$423,"&lt;&gt;"&amp;" ",'Falls Data Entry'!$O$6:$O$423,"="&amp;"Toileting w/o Assist",'Falls Data Entry'!$H$6:$H$423,"&gt;="&amp;DATE(YEAR('Falls Summary'!$E$7),MONTH('Falls Summary'!$E$7),1),'Falls Data Entry'!$H$6:$H$423,"&lt;="&amp;EOMONTH(DATE(YEAR('Falls Summary'!$E$7),MONTH('Falls Summary'!$E$7),1),0),'Falls Data Entry'!$A$6:$A$423,D250)</f>
        <v>0</v>
      </c>
      <c r="F250" s="82" t="str">
        <f>IFERROR(E250/($E$226+$E$230+$E$234+$E$238+$E$242+$E$246+$E$250+$E$254)," ")</f>
        <v xml:space="preserve"> </v>
      </c>
      <c r="G250" s="22">
        <f>COUNTIFS('Falls Data Entry'!$H$6:$H$423,"&lt;&gt;"&amp;" ",'Falls Data Entry'!$O$6:$O$423,"="&amp;"Toileting w/o Assist",'Falls Data Entry'!$H$6:$H$423,"&gt;="&amp;DATE(YEAR(VALUE('Falls Summary'!$E$8)),1,1),'Falls Data Entry'!$H$6:$H$423,"&lt;="&amp;DATE(YEAR(VALUE('Falls Summary'!$E$8)),12,31),'Falls Data Entry'!$A$6:$A$423,D250)</f>
        <v>0</v>
      </c>
      <c r="H250" s="82" t="str">
        <f>IFERROR(G250/($G$226+$G$230+$G$234+$G$238+$G$242+$G$246+$G$250+$G$254)," ")</f>
        <v xml:space="preserve"> </v>
      </c>
    </row>
    <row r="251" spans="1:8" ht="17.25" x14ac:dyDescent="0.3">
      <c r="A251" s="46">
        <v>6</v>
      </c>
      <c r="B251" s="46" t="s">
        <v>84</v>
      </c>
      <c r="C251" s="87"/>
      <c r="D251" s="84" t="str">
        <f>IF(ISNONTEXT($F$7),"",$F$7)</f>
        <v/>
      </c>
      <c r="E251" s="22">
        <f>COUNTIFS('Falls Data Entry'!$H$6:$H$423,"&lt;&gt;"&amp;" ",'Falls Data Entry'!$O$6:$O$423,"="&amp;"Toileting w/o Assist",'Falls Data Entry'!$H$6:$H$423,"&gt;="&amp;DATE(YEAR('Falls Summary'!$E$7),MONTH('Falls Summary'!$E$7),1),'Falls Data Entry'!$H$6:$H$423,"&lt;="&amp;EOMONTH(DATE(YEAR('Falls Summary'!$E$7),MONTH('Falls Summary'!$E$7),1),0),'Falls Data Entry'!$A$6:$A$423,D251)</f>
        <v>0</v>
      </c>
      <c r="F251" s="82"/>
      <c r="G251" s="22">
        <f>COUNTIFS('Falls Data Entry'!$H$6:$H$423,"&lt;&gt;"&amp;" ",'Falls Data Entry'!$O$6:$O$423,"="&amp;"Toileting w/o Assist",'Falls Data Entry'!$H$6:$H$423,"&gt;="&amp;DATE(YEAR(VALUE('Falls Summary'!$E$8)),1,1),'Falls Data Entry'!$H$6:$H$423,"&lt;="&amp;DATE(YEAR(VALUE('Falls Summary'!$E$8)),12,31),'Falls Data Entry'!$A$6:$A$423,D251)</f>
        <v>0</v>
      </c>
      <c r="H251" s="82"/>
    </row>
    <row r="252" spans="1:8" ht="18" thickBot="1" x14ac:dyDescent="0.35">
      <c r="A252" s="46">
        <v>6</v>
      </c>
      <c r="B252" s="46" t="s">
        <v>85</v>
      </c>
      <c r="C252" s="87"/>
      <c r="D252" s="84" t="str">
        <f>IF(ISNONTEXT($G$7),"",$G$7)</f>
        <v/>
      </c>
      <c r="E252" s="22">
        <f>COUNTIFS('Falls Data Entry'!$H$6:$H$423,"&lt;&gt;"&amp;" ",'Falls Data Entry'!$O$6:$O$423,"="&amp;"Toileting w/o Assist",'Falls Data Entry'!$H$6:$H$423,"&gt;="&amp;DATE(YEAR('Falls Summary'!$E$7),MONTH('Falls Summary'!$E$7),1),'Falls Data Entry'!$H$6:$H$423,"&lt;="&amp;EOMONTH(DATE(YEAR('Falls Summary'!$E$7),MONTH('Falls Summary'!$E$7),1),0),'Falls Data Entry'!$A$6:$A$423,D252)</f>
        <v>0</v>
      </c>
      <c r="F252" s="82"/>
      <c r="G252" s="22">
        <f>COUNTIFS('Falls Data Entry'!$H$6:$H$423,"&lt;&gt;"&amp;" ",'Falls Data Entry'!$O$6:$O$423,"="&amp;"Toileting w/o Assist",'Falls Data Entry'!$H$6:$H$423,"&gt;="&amp;DATE(YEAR(VALUE('Falls Summary'!$E$8)),1,1),'Falls Data Entry'!$H$6:$H$423,"&lt;="&amp;DATE(YEAR(VALUE('Falls Summary'!$E$8)),12,31),'Falls Data Entry'!$A$6:$A$423,D252)</f>
        <v>0</v>
      </c>
      <c r="H252" s="82"/>
    </row>
    <row r="253" spans="1:8" ht="18.75" thickTop="1" thickBot="1" x14ac:dyDescent="0.35">
      <c r="A253" s="46">
        <v>7</v>
      </c>
      <c r="B253" s="46" t="s">
        <v>86</v>
      </c>
      <c r="C253" s="80" t="s">
        <v>32</v>
      </c>
      <c r="D253" s="81" t="s">
        <v>3</v>
      </c>
      <c r="E253" s="90">
        <f>COUNTIFS('Falls Data Entry'!$H$6:$H$423,"&lt;&gt;"&amp;" ",'Falls Data Entry'!$O$6:$O$423,"="&amp;"Other",'Falls Data Entry'!$H$6:$H$423,"&gt;="&amp;DATE(YEAR('Falls Summary'!$E$7),MONTH('Falls Summary'!$E$7),1),'Falls Data Entry'!$H$6:$H$423,"&lt;="&amp;EOMONTH(DATE(YEAR('Falls Summary'!$E$7),MONTH('Falls Summary'!$E$7),1),0))</f>
        <v>0</v>
      </c>
      <c r="F253" s="91" t="str">
        <f>IFERROR(E253/($E$225+$E$229+$E$233+$E$237+$E$241+$E$245+$E$249+$E$253)," ")</f>
        <v xml:space="preserve"> </v>
      </c>
      <c r="G253" s="92">
        <f>COUNTIFS('Falls Data Entry'!$H$6:$H$423,"&lt;&gt;"&amp;" ",'Falls Data Entry'!$O$6:$O$423,"="&amp;"Other",'Falls Data Entry'!$H$6:$H$423,"&gt;="&amp;DATE(YEAR(VALUE('Falls Summary'!$E$8)),1,1),'Falls Data Entry'!$H$6:$H$423,"&lt;="&amp;DATE(YEAR(VALUE('Falls Summary'!$E$8)),12,31))</f>
        <v>0</v>
      </c>
      <c r="H253" s="93" t="str">
        <f>IFERROR(G253/($G$225+$G$229+$G$233+$G$237+$G$241+$G$245+$G$249+$G$253)," ")</f>
        <v xml:space="preserve"> </v>
      </c>
    </row>
    <row r="254" spans="1:8" ht="18" thickTop="1" x14ac:dyDescent="0.3">
      <c r="A254" s="46">
        <v>7</v>
      </c>
      <c r="B254" s="46" t="s">
        <v>82</v>
      </c>
      <c r="C254" s="83"/>
      <c r="D254" s="84" t="str">
        <f>IF(ISNONTEXT($E$7),"",$E$7)</f>
        <v>Unit 1</v>
      </c>
      <c r="E254" s="22">
        <f>COUNTIFS('Falls Data Entry'!$H$6:$H$423,"&lt;&gt;"&amp;" ",'Falls Data Entry'!$O$6:$O$423,"="&amp;"Other",'Falls Data Entry'!$H$6:$H$423,"&gt;="&amp;DATE(YEAR('Falls Summary'!$E$7),MONTH('Falls Summary'!$E$7),1),'Falls Data Entry'!$H$6:$H$423,"&lt;="&amp;EOMONTH(DATE(YEAR('Falls Summary'!$E$7),MONTH('Falls Summary'!$E$7),1),0),'Falls Data Entry'!$A$6:$A$423,D254)</f>
        <v>0</v>
      </c>
      <c r="F254" s="82" t="str">
        <f>IFERROR(E254/($E$226+$E$230+$E$234+$E$238+$E$242+$E$246+$E$250+$E$254)," ")</f>
        <v xml:space="preserve"> </v>
      </c>
      <c r="G254" s="22">
        <f>COUNTIFS('Falls Data Entry'!$H$6:$H$423,"&lt;&gt;"&amp;" ",'Falls Data Entry'!$O$6:$O$423,"="&amp;"Other",'Falls Data Entry'!$H$6:$H$423,"&gt;="&amp;DATE(YEAR(VALUE('Falls Summary'!$E$8)),1,1),'Falls Data Entry'!$H$6:$H$423,"&lt;="&amp;DATE(YEAR(VALUE('Falls Summary'!$E$8)),12,31),'Falls Data Entry'!$A$6:$A$423,D254)</f>
        <v>0</v>
      </c>
      <c r="H254" s="82" t="str">
        <f>IFERROR(G254/($G$226+$G$230+$G$234+$G$238+$G$242+$G$246+$G$250+$G$254)," ")</f>
        <v xml:space="preserve"> </v>
      </c>
    </row>
    <row r="255" spans="1:8" ht="17.25" x14ac:dyDescent="0.3">
      <c r="A255" s="46">
        <v>7</v>
      </c>
      <c r="B255" s="46" t="s">
        <v>87</v>
      </c>
      <c r="C255" s="83"/>
      <c r="D255" s="84" t="str">
        <f>IF(ISNONTEXT($F$7),"",$F$7)</f>
        <v/>
      </c>
      <c r="E255" s="22">
        <f>COUNTIFS('Falls Data Entry'!$H$6:$H$423,"&lt;&gt;"&amp;" ",'Falls Data Entry'!$O$6:$O$423,"="&amp;"Other",'Falls Data Entry'!$H$6:$H$423,"&gt;="&amp;DATE(YEAR('Falls Summary'!$E$7),MONTH('Falls Summary'!$E$7),1),'Falls Data Entry'!$H$6:$H$423,"&lt;="&amp;EOMONTH(DATE(YEAR('Falls Summary'!$E$7),MONTH('Falls Summary'!$E$7),1),0),'Falls Data Entry'!$A$6:$A$423,D255)</f>
        <v>0</v>
      </c>
      <c r="F255" s="82"/>
      <c r="G255" s="22">
        <f>COUNTIFS('Falls Data Entry'!$H$6:$H$423,"&lt;&gt;"&amp;" ",'Falls Data Entry'!$O$6:$O$423,"="&amp;"Other",'Falls Data Entry'!$H$6:$H$423,"&gt;="&amp;DATE(YEAR(VALUE('Falls Summary'!$E$8)),1,1),'Falls Data Entry'!$H$6:$H$423,"&lt;="&amp;DATE(YEAR(VALUE('Falls Summary'!$E$8)),12,31),'Falls Data Entry'!$A$6:$A$423,D255)</f>
        <v>0</v>
      </c>
      <c r="H255" s="82"/>
    </row>
    <row r="256" spans="1:8" ht="17.25" x14ac:dyDescent="0.3">
      <c r="A256" s="46">
        <v>7</v>
      </c>
      <c r="B256" s="46" t="s">
        <v>32</v>
      </c>
      <c r="C256" s="94"/>
      <c r="D256" s="84" t="str">
        <f>IF(ISNONTEXT($G$7),"",$G$7)</f>
        <v/>
      </c>
      <c r="E256" s="22">
        <f>COUNTIFS('Falls Data Entry'!$H$6:$H$423,"&lt;&gt;"&amp;" ",'Falls Data Entry'!$O$6:$O$423,"="&amp;"Other",'Falls Data Entry'!$H$6:$H$423,"&gt;="&amp;DATE(YEAR('Falls Summary'!$E$7),MONTH('Falls Summary'!$E$7),1),'Falls Data Entry'!$H$6:$H$423,"&lt;="&amp;EOMONTH(DATE(YEAR('Falls Summary'!$E$7),MONTH('Falls Summary'!$E$7),1),0),'Falls Data Entry'!$A$6:$A$423,D256)</f>
        <v>0</v>
      </c>
      <c r="F256" s="82"/>
      <c r="G256" s="22">
        <f>COUNTIFS('Falls Data Entry'!$H$6:$H$423,"&lt;&gt;"&amp;" ",'Falls Data Entry'!$O$6:$O$423,"="&amp;"Other",'Falls Data Entry'!$H$6:$H$423,"&gt;="&amp;DATE(YEAR(VALUE('Falls Summary'!$E$8)),1,1),'Falls Data Entry'!$H$6:$H$423,"&lt;="&amp;DATE(YEAR(VALUE('Falls Summary'!$E$8)),12,31),'Falls Data Entry'!$A$6:$A$423,D256)</f>
        <v>0</v>
      </c>
      <c r="H256" s="82"/>
    </row>
    <row r="259" spans="1:15" ht="21" thickBot="1" x14ac:dyDescent="0.4">
      <c r="A259" s="7"/>
      <c r="B259" s="7"/>
      <c r="C259" s="76" t="s">
        <v>88</v>
      </c>
      <c r="D259" s="44"/>
      <c r="E259" s="170">
        <f>$E$9</f>
        <v>46174</v>
      </c>
      <c r="F259" s="171"/>
      <c r="G259" s="172" t="s">
        <v>11</v>
      </c>
      <c r="H259" s="173"/>
      <c r="I259" s="7"/>
      <c r="J259" s="7"/>
      <c r="K259" s="7"/>
      <c r="L259" s="7"/>
      <c r="M259" s="7"/>
      <c r="N259" s="7"/>
      <c r="O259" s="7"/>
    </row>
    <row r="260" spans="1:15" ht="53.25" thickTop="1" thickBot="1" x14ac:dyDescent="0.35">
      <c r="A260" s="7"/>
      <c r="B260" s="7"/>
      <c r="C260" s="87"/>
      <c r="D260" s="7"/>
      <c r="E260" s="88" t="s">
        <v>79</v>
      </c>
      <c r="F260" s="88" t="s">
        <v>80</v>
      </c>
      <c r="G260" s="88" t="s">
        <v>79</v>
      </c>
      <c r="H260" s="88" t="s">
        <v>80</v>
      </c>
      <c r="I260" s="7"/>
      <c r="J260" s="164" t="s">
        <v>89</v>
      </c>
      <c r="K260" s="164"/>
      <c r="L260" s="165" t="s">
        <v>90</v>
      </c>
      <c r="M260" s="166"/>
      <c r="N260" s="166"/>
      <c r="O260" s="167"/>
    </row>
    <row r="261" spans="1:15" ht="18" thickTop="1" x14ac:dyDescent="0.3">
      <c r="A261" s="7">
        <v>1</v>
      </c>
      <c r="B261" s="7"/>
      <c r="C261" s="80" t="s">
        <v>90</v>
      </c>
      <c r="D261" s="81" t="s">
        <v>3</v>
      </c>
      <c r="E261" s="22">
        <f>COUNTIFS('Falls Data Entry'!$H$6:$H$423,"&lt;&gt;"&amp;" ",'Falls Data Entry'!$Q$6:$Q$423,"="&amp;"Skin tear",'Falls Data Entry'!$H$6:$H$423,"&gt;="&amp;DATE(YEAR(calc!$E$9),MONTH(calc!$E$9),1),'Falls Data Entry'!$H$6:$H$423,"&lt;="&amp;EOMONTH(DATE(YEAR(calc!$E$9),MONTH(calc!$E$9),1),0))</f>
        <v>0</v>
      </c>
      <c r="F261" s="82" t="str">
        <f>IFERROR(E261/($E$261+$E$265+$E$269+$E$273+$E$277+$E$281+$E$285)," ")</f>
        <v xml:space="preserve"> </v>
      </c>
      <c r="G261" s="22">
        <f>COUNTIFS('Falls Data Entry'!$H$6:$H$423,"&lt;&gt;"&amp;" ",'Falls Data Entry'!$Q$6:$Q$423,"="&amp;"Skin tear",'Falls Data Entry'!$H$6:$H$423,"&gt;="&amp;DATE(YEAR(VALUE(calc!$E$10)),1,1),'Falls Data Entry'!$H$6:$H$423,"&lt;="&amp;DATE(YEAR(VALUE(calc!$E$10)),12,31))</f>
        <v>0</v>
      </c>
      <c r="H261" s="82" t="str">
        <f>IFERROR(G261/($G$261+$G$265+$G$269+$G$273+$G$277+$G$281+$G$285)," ")</f>
        <v xml:space="preserve"> </v>
      </c>
      <c r="I261" s="7"/>
      <c r="J261" s="7"/>
      <c r="K261" s="7"/>
      <c r="L261" s="7">
        <f>_xlfn.XLOOKUP(L260,$C$261:$C$288, $A$261:$A$288,"",0)</f>
        <v>1</v>
      </c>
      <c r="M261" s="7"/>
      <c r="N261" s="7"/>
      <c r="O261" s="7"/>
    </row>
    <row r="262" spans="1:15" ht="17.25" x14ac:dyDescent="0.3">
      <c r="A262" s="7">
        <v>1</v>
      </c>
      <c r="B262" s="7"/>
      <c r="C262" s="83"/>
      <c r="D262" s="84" t="str">
        <f>IF(ISNONTEXT($E$7),"",$E$7)</f>
        <v>Unit 1</v>
      </c>
      <c r="E262" s="22">
        <f>COUNTIFS('Falls Data Entry'!$H$6:$H$423,"&lt;&gt;"&amp;" ",'Falls Data Entry'!$Q$6:$Q$423,"="&amp;"Skin tear",'Falls Data Entry'!$H$6:$H$423,"&gt;="&amp;DATE(YEAR(calc!$E$9),MONTH(calc!$E$9),1),'Falls Data Entry'!$H$6:$H$423,"&lt;="&amp;EOMONTH(DATE(YEAR(calc!$E$9),MONTH(calc!$E$9),1),0),'Falls Data Entry'!$A$6:$A$423,D262)</f>
        <v>0</v>
      </c>
      <c r="F262" s="82" t="str">
        <f>IFERROR(E262/($E$262+$E$266+$E$270+$E$274+$E$278+$E$282+$E$286)," ")</f>
        <v xml:space="preserve"> </v>
      </c>
      <c r="G262" s="22">
        <f>COUNTIFS('Falls Data Entry'!$H$6:$H$423,"&lt;&gt;"&amp;" ",'Falls Data Entry'!$Q$6:$Q$423,"="&amp;"Skin tear",'Falls Data Entry'!$H$6:$H$423,"&gt;="&amp;DATE(YEAR(VALUE(calc!$E$10)),1,1),'Falls Data Entry'!$H$6:$H$423,"&lt;="&amp;DATE(YEAR(VALUE(calc!$E$10)),12,31),'Falls Data Entry'!$A$6:$A$423,D262)</f>
        <v>0</v>
      </c>
      <c r="H262" s="82" t="str">
        <f>IFERROR(G262/($G$262+$G$266+$G$270+$G$274+$G$278+$G$282+$G$286)," ")</f>
        <v xml:space="preserve"> </v>
      </c>
      <c r="I262" s="7"/>
      <c r="J262" s="81"/>
      <c r="K262" s="85">
        <f>$E$9</f>
        <v>46174</v>
      </c>
      <c r="L262" s="79" t="s">
        <v>11</v>
      </c>
      <c r="M262" s="7"/>
      <c r="N262" s="7"/>
      <c r="O262" s="7"/>
    </row>
    <row r="263" spans="1:15" ht="17.25" x14ac:dyDescent="0.3">
      <c r="A263" s="7">
        <v>1</v>
      </c>
      <c r="B263" s="7"/>
      <c r="C263" s="83"/>
      <c r="D263" s="84" t="str">
        <f>IF(ISNONTEXT($F$7),"",$F$7)</f>
        <v/>
      </c>
      <c r="E263" s="22">
        <f>COUNTIFS('Falls Data Entry'!$H$6:$H$423,"&lt;&gt;"&amp;" ",'Falls Data Entry'!$Q$6:$Q$423,"="&amp;"Skin tear",'Falls Data Entry'!$H$6:$H$423,"&gt;="&amp;DATE(YEAR(calc!$E$9),MONTH(calc!$E$9),1),'Falls Data Entry'!$H$6:$H$423,"&lt;="&amp;EOMONTH(DATE(YEAR(calc!$E$9),MONTH(calc!$E$9),1),0),'Falls Data Entry'!$A$6:$A$423,D263)</f>
        <v>0</v>
      </c>
      <c r="F263" s="82" t="str">
        <f>IFERROR(E263/($E$263+$E$267+$E$271+$E$275+$E$279+$E$283+$E$287)," ")</f>
        <v xml:space="preserve"> </v>
      </c>
      <c r="G263" s="22">
        <f>COUNTIFS('Falls Data Entry'!$H$6:$H$423,"&lt;&gt;"&amp;" ",'Falls Data Entry'!$Q$6:$Q$423,"="&amp;"Skin tear",'Falls Data Entry'!$H$6:$H$423,"&gt;="&amp;DATE(YEAR(VALUE(calc!$E$10)),1,1),'Falls Data Entry'!$H$6:$H$423,"&lt;="&amp;DATE(YEAR(VALUE(calc!$E$10)),12,31),'Falls Data Entry'!$A$6:$A$423,D263)</f>
        <v>0</v>
      </c>
      <c r="H263" s="82" t="str">
        <f>IFERROR(G263/($G$263+$G$267+$G$271+$G$275+$G$279+$G$283+$G$287)," ")</f>
        <v xml:space="preserve"> </v>
      </c>
      <c r="I263" s="7"/>
      <c r="J263" s="84" t="str">
        <f>IF(ISNONTEXT($E$7),"",$E$7)</f>
        <v>Unit 1</v>
      </c>
      <c r="K263" s="86" t="str" cm="1">
        <f t="array" ref="K263">_xlfn.XLOOKUP(J263&amp;$L$261,$D$261:$D$288&amp;$A$261:$A$288,$F$261:$F$288,"",0)</f>
        <v xml:space="preserve"> </v>
      </c>
      <c r="L263" s="86" t="str" cm="1">
        <f t="array" ref="L263">_xlfn.XLOOKUP(J263&amp;$L$261,$D$261:$D$288&amp;$A$261:$A$288,$H$261:$H$288,"",0)</f>
        <v xml:space="preserve"> </v>
      </c>
      <c r="M263" s="7"/>
      <c r="N263" s="7"/>
      <c r="O263" s="7"/>
    </row>
    <row r="264" spans="1:15" ht="17.25" x14ac:dyDescent="0.3">
      <c r="A264" s="7">
        <v>1</v>
      </c>
      <c r="B264" s="7"/>
      <c r="C264" s="83"/>
      <c r="D264" s="84" t="str">
        <f>IF(ISNONTEXT($G$7),"",$G$7)</f>
        <v/>
      </c>
      <c r="E264" s="22">
        <f>COUNTIFS('Falls Data Entry'!$H$6:$H$423,"&lt;&gt;"&amp;" ",'Falls Data Entry'!$Q$6:$Q$423,"="&amp;"Skin tear",'Falls Data Entry'!$H$6:$H$423,"&gt;="&amp;DATE(YEAR(calc!$E$9),MONTH(calc!$E$9),1),'Falls Data Entry'!$H$6:$H$423,"&lt;="&amp;EOMONTH(DATE(YEAR(calc!$E$9),MONTH(calc!$E$9),1),0),'Falls Data Entry'!$A$6:$A$423,D264)</f>
        <v>0</v>
      </c>
      <c r="F264" s="82" t="str">
        <f>IFERROR(E264/($E$264+$E$268+$E$272+$E$276+$E$280+$E$284+$E$288)," ")</f>
        <v xml:space="preserve"> </v>
      </c>
      <c r="G264" s="22">
        <f>COUNTIFS('Falls Data Entry'!$H$6:$H$423,"&lt;&gt;"&amp;" ",'Falls Data Entry'!$Q$6:$Q$423,"="&amp;"Skin tear",'Falls Data Entry'!$H$6:$H$423,"&gt;="&amp;DATE(YEAR(VALUE(calc!$E$10)),1,1),'Falls Data Entry'!$H$6:$H$423,"&lt;="&amp;DATE(YEAR(VALUE(calc!$E$10)),12,31),'Falls Data Entry'!$A$6:$A$423,D264)</f>
        <v>0</v>
      </c>
      <c r="H264" s="82" t="str">
        <f>IFERROR(G264/($G$264+$G$268+$G$272+$G$276+$G$280+$G$284+$G$288)," ")</f>
        <v xml:space="preserve"> </v>
      </c>
      <c r="I264" s="7"/>
      <c r="J264" s="84" t="str">
        <f>IF(ISNONTEXT($F$7),"",$F$7)</f>
        <v/>
      </c>
      <c r="K264" s="86" t="str" cm="1">
        <f t="array" ref="K264">_xlfn.XLOOKUP(J264&amp;$L$261,$D$261:$D$288&amp;$A$261:$A$288,$F$261:$F$288,"",0)</f>
        <v xml:space="preserve"> </v>
      </c>
      <c r="L264" s="86" t="str" cm="1">
        <f t="array" ref="L264">_xlfn.XLOOKUP(J264&amp;$L$261,$D$261:$D$288&amp;$A$261:$A$288,$H$261:$H$288,"",0)</f>
        <v xml:space="preserve"> </v>
      </c>
      <c r="M264" s="7"/>
      <c r="N264" s="7"/>
      <c r="O264" s="7"/>
    </row>
    <row r="265" spans="1:15" ht="17.25" x14ac:dyDescent="0.3">
      <c r="A265" s="7">
        <v>2</v>
      </c>
      <c r="B265" s="7"/>
      <c r="C265" s="80" t="s">
        <v>91</v>
      </c>
      <c r="D265" s="81" t="s">
        <v>3</v>
      </c>
      <c r="E265" s="22">
        <f>COUNTIFS('Falls Data Entry'!$H$6:$H$423,"&lt;&gt;"&amp;" ",'Falls Data Entry'!$Q$6:$Q$423,"="&amp;"Confusion",'Falls Data Entry'!$H$6:$H$423,"&gt;="&amp;DATE(YEAR(calc!$E$9),MONTH(calc!$E$9),1),'Falls Data Entry'!$H$6:$H$423,"&lt;="&amp;EOMONTH(DATE(YEAR(calc!$E$9),MONTH(calc!$E$9),1),0))</f>
        <v>0</v>
      </c>
      <c r="F265" s="82" t="str">
        <f>IFERROR(E265/($E$261+$E$265+$E$269+$E$273+$E$277+$E$281+$E$285)," ")</f>
        <v xml:space="preserve"> </v>
      </c>
      <c r="G265" s="22">
        <f>COUNTIFS('Falls Data Entry'!$H$6:$H$423,"&lt;&gt;"&amp;" ",'Falls Data Entry'!$Q$6:$Q$423,"="&amp;"Confusion",'Falls Data Entry'!$H$6:$H$423,"&gt;="&amp;DATE(YEAR(VALUE(calc!$E$10)),1,1),'Falls Data Entry'!$H$6:$H$423,"&lt;="&amp;DATE(YEAR(VALUE(calc!$E$10)),12,31))</f>
        <v>0</v>
      </c>
      <c r="H265" s="82" t="str">
        <f>IFERROR(G265/($G$261+$G$265+$G$269+$G$273+$G$277+$G$281+$G$285)," ")</f>
        <v xml:space="preserve"> </v>
      </c>
      <c r="I265" s="7"/>
      <c r="J265" s="84" t="str">
        <f>IF(ISNONTEXT($G$7),"",$G$7)</f>
        <v/>
      </c>
      <c r="K265" s="86" t="str" cm="1">
        <f t="array" ref="K265">_xlfn.XLOOKUP(J265&amp;$L$261,$D$261:$D$288&amp;$A$261:$A$288,$F$261:$F$288,"",0)</f>
        <v xml:space="preserve"> </v>
      </c>
      <c r="L265" s="86" t="str" cm="1">
        <f t="array" ref="L265">_xlfn.XLOOKUP(J265&amp;$L$261,$D$261:$D$288&amp;$A$261:$A$288,$H$261:$H$288,"",0)</f>
        <v xml:space="preserve"> </v>
      </c>
      <c r="M265" s="7"/>
      <c r="N265" s="7"/>
      <c r="O265" s="7"/>
    </row>
    <row r="266" spans="1:15" ht="17.25" x14ac:dyDescent="0.3">
      <c r="A266" s="7">
        <v>2</v>
      </c>
      <c r="B266" s="7"/>
      <c r="C266" s="83"/>
      <c r="D266" s="84" t="str">
        <f>IF(ISNONTEXT($E$7),"",$E$7)</f>
        <v>Unit 1</v>
      </c>
      <c r="E266" s="22">
        <f>COUNTIFS('Falls Data Entry'!$H$6:$H$423,"&lt;&gt;"&amp;" ",'Falls Data Entry'!$Q$6:$Q$423,"="&amp;"Confusion",'Falls Data Entry'!$H$6:$H$423,"&gt;="&amp;DATE(YEAR(calc!$E$9),MONTH(calc!$E$9),1),'Falls Data Entry'!$H$6:$H$423,"&lt;="&amp;EOMONTH(DATE(YEAR(calc!$E$9),MONTH(calc!$E$9),1),0),'Falls Data Entry'!$A$6:$A$423,D266)</f>
        <v>0</v>
      </c>
      <c r="F266" s="82" t="str">
        <f>IFERROR(E266/($E$262+$E$266+$E$270+$E$274+$E$278+$E$282+$E$286)," ")</f>
        <v xml:space="preserve"> </v>
      </c>
      <c r="G266" s="22">
        <f>COUNTIFS('Falls Data Entry'!$H$6:$H$423,"&lt;&gt;"&amp;" ",'Falls Data Entry'!$Q$6:$Q$423,"="&amp;"Confusion",'Falls Data Entry'!$H$6:$H$423,"&gt;="&amp;DATE(YEAR(VALUE(calc!$E$10)),1,1),'Falls Data Entry'!$H$6:$H$423,"&lt;="&amp;DATE(YEAR(VALUE(calc!$E$10)),12,31),'Falls Data Entry'!$A$6:$A$423,D266)</f>
        <v>0</v>
      </c>
      <c r="H266" s="82" t="str">
        <f>IFERROR(G266/($G$262+$G$266+$G$270+$G$274+$G$278+$G$282+$G$286)," ")</f>
        <v xml:space="preserve"> </v>
      </c>
      <c r="I266" s="7"/>
      <c r="J266" s="84" t="s">
        <v>3</v>
      </c>
      <c r="K266" s="45" t="str" cm="1">
        <f t="array" ref="K266">_xlfn.XLOOKUP(J266&amp;$L$261,$D$261:$D$288&amp;$A$261:$A$288,$F$261:$F$288,"",0)</f>
        <v xml:space="preserve"> </v>
      </c>
      <c r="L266" s="45" t="str" cm="1">
        <f t="array" ref="L266">_xlfn.XLOOKUP(J266&amp;$L$261,$D$261:$D$288&amp;$A$261:$A$288,$H$261:$H$288,"",0)</f>
        <v xml:space="preserve"> </v>
      </c>
      <c r="M266" s="7"/>
      <c r="N266" s="7"/>
      <c r="O266" s="7"/>
    </row>
    <row r="267" spans="1:15" ht="17.25" x14ac:dyDescent="0.3">
      <c r="A267" s="7">
        <v>2</v>
      </c>
      <c r="B267" s="7"/>
      <c r="C267" s="83"/>
      <c r="D267" s="84" t="str">
        <f>IF(ISNONTEXT($F$7),"",$F$7)</f>
        <v/>
      </c>
      <c r="E267" s="22">
        <f>COUNTIFS('Falls Data Entry'!$H$6:$H$423,"&lt;&gt;"&amp;" ",'Falls Data Entry'!$Q$6:$Q$423,"="&amp;"Confusion",'Falls Data Entry'!$H$6:$H$423,"&gt;="&amp;DATE(YEAR(calc!$E$9),MONTH(calc!$E$9),1),'Falls Data Entry'!$H$6:$H$423,"&lt;="&amp;EOMONTH(DATE(YEAR(calc!$E$9),MONTH(calc!$E$9),1),0),'Falls Data Entry'!$A$6:$A$423,D267)</f>
        <v>0</v>
      </c>
      <c r="F267" s="82" t="str">
        <f>IFERROR(E267/($E$263+$E$267+$E$271+$E$275+$E$279+$E$283+$E$287)," ")</f>
        <v xml:space="preserve"> </v>
      </c>
      <c r="G267" s="22">
        <f>COUNTIFS('Falls Data Entry'!$H$6:$H$423,"&lt;&gt;"&amp;" ",'Falls Data Entry'!$Q$6:$Q$423,"="&amp;"Confusion",'Falls Data Entry'!$H$6:$H$423,"&gt;="&amp;DATE(YEAR(VALUE(calc!$E$10)),1,1),'Falls Data Entry'!$H$6:$H$423,"&lt;="&amp;DATE(YEAR(VALUE(calc!$E$10)),12,31),'Falls Data Entry'!$A$6:$A$423,D267)</f>
        <v>0</v>
      </c>
      <c r="H267" s="82" t="str">
        <f>IFERROR(G267/($G$263+$G$267+$G$271+$G$275+$G$279+$G$283+$G$287)," ")</f>
        <v xml:space="preserve"> </v>
      </c>
      <c r="I267" s="7"/>
      <c r="J267" s="7"/>
      <c r="K267" s="7"/>
      <c r="L267" s="7"/>
      <c r="M267" s="7"/>
      <c r="N267" s="7"/>
      <c r="O267" s="7"/>
    </row>
    <row r="268" spans="1:15" ht="17.25" x14ac:dyDescent="0.3">
      <c r="A268" s="7">
        <v>2</v>
      </c>
      <c r="B268" s="7"/>
      <c r="C268" s="83"/>
      <c r="D268" s="84" t="str">
        <f>IF(ISNONTEXT($G$7),"",$G$7)</f>
        <v/>
      </c>
      <c r="E268" s="22">
        <f>COUNTIFS('Falls Data Entry'!$H$6:$H$423,"&lt;&gt;"&amp;" ",'Falls Data Entry'!$Q$6:$Q$423,"="&amp;"Confusion",'Falls Data Entry'!$H$6:$H$423,"&gt;="&amp;DATE(YEAR(calc!$E$9),MONTH(calc!$E$9),1),'Falls Data Entry'!$H$6:$H$423,"&lt;="&amp;EOMONTH(DATE(YEAR(calc!$E$9),MONTH(calc!$E$9),1),0),'Falls Data Entry'!$A$6:$A$423,D268)</f>
        <v>0</v>
      </c>
      <c r="F268" s="82" t="str">
        <f>IFERROR(E268/($E$264+$E$268+$E$272+$E$276+$E$280+$E$284+$E$288)," ")</f>
        <v xml:space="preserve"> </v>
      </c>
      <c r="G268" s="22">
        <f>COUNTIFS('Falls Data Entry'!$H$6:$H$423,"&lt;&gt;"&amp;" ",'Falls Data Entry'!$Q$6:$Q$423,"="&amp;"Confusion",'Falls Data Entry'!$H$6:$H$423,"&gt;="&amp;DATE(YEAR(VALUE(calc!$E$10)),1,1),'Falls Data Entry'!$H$6:$H$423,"&lt;="&amp;DATE(YEAR(VALUE(calc!$E$10)),12,31),'Falls Data Entry'!$A$6:$A$423,D268)</f>
        <v>0</v>
      </c>
      <c r="H268" s="82" t="str">
        <f>IFERROR(G268/($G$264+$G$268+$G$272+$G$276+$G$280+$G$284+$G$288)," ")</f>
        <v xml:space="preserve"> </v>
      </c>
      <c r="I268" s="7"/>
      <c r="J268" s="7"/>
      <c r="K268" s="7"/>
      <c r="L268" s="7"/>
      <c r="M268" s="7"/>
      <c r="N268" s="7"/>
      <c r="O268" s="7"/>
    </row>
    <row r="269" spans="1:15" ht="17.25" x14ac:dyDescent="0.3">
      <c r="A269" s="7">
        <v>3</v>
      </c>
      <c r="B269" s="7"/>
      <c r="C269" s="80" t="s">
        <v>92</v>
      </c>
      <c r="D269" s="81" t="s">
        <v>3</v>
      </c>
      <c r="E269" s="22">
        <f>COUNTIFS('Falls Data Entry'!$H$6:$H$423,"&lt;&gt;"&amp;" ",'Falls Data Entry'!$Q$6:$Q$423,"="&amp;"Abrasion",'Falls Data Entry'!$H$6:$H$423,"&gt;="&amp;DATE(YEAR(calc!$E$9),MONTH(calc!$E$9),1),'Falls Data Entry'!$H$6:$H$423,"&lt;="&amp;EOMONTH(DATE(YEAR(calc!$E$9),MONTH(calc!$E$9),1),0))</f>
        <v>0</v>
      </c>
      <c r="F269" s="82" t="str">
        <f>IFERROR(E269/($E$261+$E$265+$E$269+$E$273+$E$277+$E$281+$E$285)," ")</f>
        <v xml:space="preserve"> </v>
      </c>
      <c r="G269" s="22">
        <f>COUNTIFS('Falls Data Entry'!$H$6:$H$423,"&lt;&gt;"&amp;" ",'Falls Data Entry'!$Q$6:$Q$423,"="&amp;"Abrasion",'Falls Data Entry'!$H$6:$H$423,"&gt;="&amp;DATE(YEAR(VALUE(calc!$E$10)),1,1),'Falls Data Entry'!$H$6:$H$423,"&lt;="&amp;DATE(YEAR(VALUE(calc!$E$10)),12,31))</f>
        <v>0</v>
      </c>
      <c r="H269" s="82" t="str">
        <f>IFERROR(G269/($G$261+$G$265+$G$269+$G$273+$G$277+$G$281+$G$285)," ")</f>
        <v xml:space="preserve"> </v>
      </c>
      <c r="I269" s="7"/>
      <c r="J269" s="7"/>
      <c r="K269" s="7"/>
      <c r="L269" s="7"/>
      <c r="M269" s="7"/>
      <c r="N269" s="7"/>
      <c r="O269" s="7"/>
    </row>
    <row r="270" spans="1:15" ht="17.25" x14ac:dyDescent="0.3">
      <c r="A270" s="7">
        <v>3</v>
      </c>
      <c r="B270" s="7"/>
      <c r="C270" s="83"/>
      <c r="D270" s="84" t="str">
        <f>IF(ISNONTEXT($E$7),"",$E$7)</f>
        <v>Unit 1</v>
      </c>
      <c r="E270" s="22">
        <f>COUNTIFS('Falls Data Entry'!$H$6:$H$423,"&lt;&gt;"&amp;" ",'Falls Data Entry'!$Q$6:$Q$423,"="&amp;"Abrasion",'Falls Data Entry'!$H$6:$H$423,"&gt;="&amp;DATE(YEAR(calc!$E$9),MONTH(calc!$E$9),1),'Falls Data Entry'!$H$6:$H$423,"&lt;="&amp;EOMONTH(DATE(YEAR(calc!$E$9),MONTH(calc!$E$9),1),0),'Falls Data Entry'!$A$6:$A$423,D270)</f>
        <v>0</v>
      </c>
      <c r="F270" s="82" t="str">
        <f>IFERROR(E270/($E$262+$E$266+$E$270+$E$274+$E$278+$E$282+$E$286)," ")</f>
        <v xml:space="preserve"> </v>
      </c>
      <c r="G270" s="22">
        <f>COUNTIFS('Falls Data Entry'!$H$6:$H$423,"&lt;&gt;"&amp;" ",'Falls Data Entry'!$Q$6:$Q$423,"="&amp;"Abrasion",'Falls Data Entry'!$H$6:$H$423,"&gt;="&amp;DATE(YEAR(VALUE(calc!$E$10)),1,1),'Falls Data Entry'!$H$6:$H$423,"&lt;="&amp;DATE(YEAR(VALUE(calc!$E$10)),12,31),'Falls Data Entry'!$A$6:$A$423,D270)</f>
        <v>0</v>
      </c>
      <c r="H270" s="82" t="str">
        <f>IFERROR(G270/($G$262+$G$266+$G$270+$G$274+$G$278+$G$282+$G$286)," ")</f>
        <v xml:space="preserve"> </v>
      </c>
      <c r="I270" s="7"/>
      <c r="J270" s="7"/>
      <c r="K270" s="7"/>
      <c r="L270" s="7"/>
      <c r="M270" s="7"/>
      <c r="N270" s="7"/>
      <c r="O270" s="7"/>
    </row>
    <row r="271" spans="1:15" ht="17.25" x14ac:dyDescent="0.3">
      <c r="A271" s="7">
        <v>3</v>
      </c>
      <c r="B271" s="7"/>
      <c r="C271" s="83"/>
      <c r="D271" s="84" t="str">
        <f>IF(ISNONTEXT($F$7),"",$F$7)</f>
        <v/>
      </c>
      <c r="E271" s="22">
        <f>COUNTIFS('Falls Data Entry'!$H$6:$H$423,"&lt;&gt;"&amp;" ",'Falls Data Entry'!$Q$6:$Q$423,"="&amp;"Abrasion",'Falls Data Entry'!$H$6:$H$423,"&gt;="&amp;DATE(YEAR(calc!$E$9),MONTH(calc!$E$9),1),'Falls Data Entry'!$H$6:$H$423,"&lt;="&amp;EOMONTH(DATE(YEAR(calc!$E$9),MONTH(calc!$E$9),1),0),'Falls Data Entry'!$A$6:$A$423,D271)</f>
        <v>0</v>
      </c>
      <c r="F271" s="82" t="str">
        <f>IFERROR(E271/($E$263+$E$267+$E$271+$E$275+$E$279+$E$283+$E$287)," ")</f>
        <v xml:space="preserve"> </v>
      </c>
      <c r="G271" s="22">
        <f>COUNTIFS('Falls Data Entry'!$H$6:$H$423,"&lt;&gt;"&amp;" ",'Falls Data Entry'!$Q$6:$Q$423,"="&amp;"Abrasion",'Falls Data Entry'!$H$6:$H$423,"&gt;="&amp;DATE(YEAR(VALUE(calc!$E$10)),1,1),'Falls Data Entry'!$H$6:$H$423,"&lt;="&amp;DATE(YEAR(VALUE(calc!$E$10)),12,31),'Falls Data Entry'!$A$6:$A$423,D271)</f>
        <v>0</v>
      </c>
      <c r="H271" s="82" t="str">
        <f>IFERROR(G271/($G$263+$G$267+$G$271+$G$275+$G$279+$G$283+$G$287)," ")</f>
        <v xml:space="preserve"> </v>
      </c>
      <c r="I271" s="7"/>
      <c r="J271" s="7"/>
      <c r="K271" s="7"/>
      <c r="L271" s="7"/>
      <c r="M271" s="7"/>
      <c r="N271" s="7"/>
      <c r="O271" s="7"/>
    </row>
    <row r="272" spans="1:15" ht="17.25" x14ac:dyDescent="0.3">
      <c r="A272" s="7">
        <v>3</v>
      </c>
      <c r="B272" s="7"/>
      <c r="C272" s="83"/>
      <c r="D272" s="84" t="str">
        <f>IF(ISNONTEXT($G$7),"",$G$7)</f>
        <v/>
      </c>
      <c r="E272" s="22">
        <f>COUNTIFS('Falls Data Entry'!$H$6:$H$423,"&lt;&gt;"&amp;" ",'Falls Data Entry'!$Q$6:$Q$423,"="&amp;"Abrasion",'Falls Data Entry'!$H$6:$H$423,"&gt;="&amp;DATE(YEAR(calc!$E$9),MONTH(calc!$E$9),1),'Falls Data Entry'!$H$6:$H$423,"&lt;="&amp;EOMONTH(DATE(YEAR(calc!$E$9),MONTH(calc!$E$9),1),0),'Falls Data Entry'!$A$6:$A$423,D272)</f>
        <v>0</v>
      </c>
      <c r="F272" s="82" t="str">
        <f>IFERROR(E272/($E$264+$E$268+$E$272+$E$276+$E$280+$E$284+$E$288)," ")</f>
        <v xml:space="preserve"> </v>
      </c>
      <c r="G272" s="22">
        <f>COUNTIFS('Falls Data Entry'!$H$6:$H$423,"&lt;&gt;"&amp;" ",'Falls Data Entry'!$Q$6:$Q$423,"="&amp;"Abrasion",'Falls Data Entry'!$H$6:$H$423,"&gt;="&amp;DATE(YEAR(VALUE(calc!$E$10)),1,1),'Falls Data Entry'!$H$6:$H$423,"&lt;="&amp;DATE(YEAR(VALUE(calc!$E$10)),12,31),'Falls Data Entry'!$A$6:$A$423,D272)</f>
        <v>0</v>
      </c>
      <c r="H272" s="82" t="str">
        <f>IFERROR(G272/($G$264+$G$268+$G$272+$G$276+$G$280+$G$284+$G$288)," ")</f>
        <v xml:space="preserve"> </v>
      </c>
      <c r="I272" s="7"/>
      <c r="J272" s="7"/>
      <c r="K272" s="7"/>
      <c r="L272" s="7"/>
      <c r="M272" s="7"/>
      <c r="N272" s="7"/>
      <c r="O272" s="7"/>
    </row>
    <row r="273" spans="1:8" ht="17.25" x14ac:dyDescent="0.3">
      <c r="A273" s="7">
        <v>4</v>
      </c>
      <c r="B273" s="7"/>
      <c r="C273" s="80" t="s">
        <v>93</v>
      </c>
      <c r="D273" s="81" t="s">
        <v>3</v>
      </c>
      <c r="E273" s="22">
        <f>COUNTIFS('Falls Data Entry'!$H$6:$H$423,"&lt;&gt;"&amp;" ",'Falls Data Entry'!$Q$6:$Q$423,"="&amp;"Bone fracture",'Falls Data Entry'!$H$6:$H$423,"&gt;="&amp;DATE(YEAR(calc!$E$9),MONTH(calc!$E$9),1),'Falls Data Entry'!$H$6:$H$423,"&lt;="&amp;EOMONTH(DATE(YEAR(calc!$E$9),MONTH(calc!$E$9),1),0))</f>
        <v>0</v>
      </c>
      <c r="F273" s="82" t="str">
        <f>IFERROR(E273/($E$261+$E$265+$E$269+$E$273+$E$277+$E$281+$E$285)," ")</f>
        <v xml:space="preserve"> </v>
      </c>
      <c r="G273" s="22">
        <f>COUNTIFS('Falls Data Entry'!$H$6:$H$423,"&lt;&gt;"&amp;" ",'Falls Data Entry'!$Q$6:$Q$423,"="&amp;"Bone fracture",'Falls Data Entry'!$H$6:$H$423,"&gt;="&amp;DATE(YEAR(VALUE(calc!$E$10)),1,1),'Falls Data Entry'!$H$6:$H$423,"&lt;="&amp;DATE(YEAR(VALUE(calc!$E$10)),12,31))</f>
        <v>0</v>
      </c>
      <c r="H273" s="82" t="str">
        <f>IFERROR(G273/($G$261+$G$265+$G$269+$G$273+$G$277+$G$281+$G$285)," ")</f>
        <v xml:space="preserve"> </v>
      </c>
    </row>
    <row r="274" spans="1:8" ht="17.25" x14ac:dyDescent="0.3">
      <c r="A274" s="7">
        <v>4</v>
      </c>
      <c r="B274" s="7"/>
      <c r="C274" s="87"/>
      <c r="D274" s="84" t="str">
        <f>IF(ISNONTEXT($E$7),"",$E$7)</f>
        <v>Unit 1</v>
      </c>
      <c r="E274" s="22">
        <f>COUNTIFS('Falls Data Entry'!$H$6:$H$423,"&lt;&gt;"&amp;" ",'Falls Data Entry'!$Q$6:$Q$423,"="&amp;"Bone fracture",'Falls Data Entry'!$H$6:$H$423,"&gt;="&amp;DATE(YEAR(calc!$E$9),MONTH(calc!$E$9),1),'Falls Data Entry'!$H$6:$H$423,"&lt;="&amp;EOMONTH(DATE(YEAR(calc!$E$9),MONTH(calc!$E$9),1),0),'Falls Data Entry'!$A$6:$A$423,D274)</f>
        <v>0</v>
      </c>
      <c r="F274" s="82" t="str">
        <f>IFERROR(E274/($E$262+$E$266+$E$270+$E$274+$E$278+$E$282+$E$286)," ")</f>
        <v xml:space="preserve"> </v>
      </c>
      <c r="G274" s="22">
        <f>COUNTIFS('Falls Data Entry'!$H$6:$H$423,"&lt;&gt;"&amp;" ",'Falls Data Entry'!$Q$6:$Q$423,"="&amp;"Bone fracture",'Falls Data Entry'!$H$6:$H$423,"&gt;="&amp;DATE(YEAR(VALUE(calc!$E$10)),1,1),'Falls Data Entry'!$H$6:$H$423,"&lt;="&amp;DATE(YEAR(VALUE(calc!$E$10)),12,31),'Falls Data Entry'!$A$6:$A$423,D274)</f>
        <v>0</v>
      </c>
      <c r="H274" s="82" t="str">
        <f>IFERROR(G274/($G$262+$G$266+$G$270+$G$274+$G$278+$G$282+$G$286)," ")</f>
        <v xml:space="preserve"> </v>
      </c>
    </row>
    <row r="275" spans="1:8" ht="17.25" x14ac:dyDescent="0.3">
      <c r="A275" s="7">
        <v>4</v>
      </c>
      <c r="B275" s="7"/>
      <c r="C275" s="87"/>
      <c r="D275" s="84" t="str">
        <f>IF(ISNONTEXT($F$7),"",$F$7)</f>
        <v/>
      </c>
      <c r="E275" s="22">
        <f>COUNTIFS('Falls Data Entry'!$H$6:$H$423,"&lt;&gt;"&amp;" ",'Falls Data Entry'!$Q$6:$Q$423,"="&amp;"Bone fracture",'Falls Data Entry'!$H$6:$H$423,"&gt;="&amp;DATE(YEAR(calc!$E$9),MONTH(calc!$E$9),1),'Falls Data Entry'!$H$6:$H$423,"&lt;="&amp;EOMONTH(DATE(YEAR(calc!$E$9),MONTH(calc!$E$9),1),0),'Falls Data Entry'!$A$6:$A$423,D275)</f>
        <v>0</v>
      </c>
      <c r="F275" s="82" t="str">
        <f>IFERROR(E275/($E$263+$E$267+$E$271+$E$275+$E$279+$E$283+$E$287)," ")</f>
        <v xml:space="preserve"> </v>
      </c>
      <c r="G275" s="22">
        <f>COUNTIFS('Falls Data Entry'!$H$6:$H$423,"&lt;&gt;"&amp;" ",'Falls Data Entry'!$Q$6:$Q$423,"="&amp;"Bone fracture",'Falls Data Entry'!$H$6:$H$423,"&gt;="&amp;DATE(YEAR(VALUE(calc!$E$10)),1,1),'Falls Data Entry'!$H$6:$H$423,"&lt;="&amp;DATE(YEAR(VALUE(calc!$E$10)),12,31),'Falls Data Entry'!$A$6:$A$423,D275)</f>
        <v>0</v>
      </c>
      <c r="H275" s="82" t="str">
        <f>IFERROR(G275/($G$263+$G$267+$G$271+$G$275+$G$279+$G$283+$G$287)," ")</f>
        <v xml:space="preserve"> </v>
      </c>
    </row>
    <row r="276" spans="1:8" ht="17.25" x14ac:dyDescent="0.3">
      <c r="A276" s="7">
        <v>4</v>
      </c>
      <c r="B276" s="7"/>
      <c r="C276" s="87"/>
      <c r="D276" s="84" t="str">
        <f>IF(ISNONTEXT($G$7),"",$G$7)</f>
        <v/>
      </c>
      <c r="E276" s="22">
        <f>COUNTIFS('Falls Data Entry'!$H$6:$H$423,"&lt;&gt;"&amp;" ",'Falls Data Entry'!$Q$6:$Q$423,"="&amp;"Bone fracture",'Falls Data Entry'!$H$6:$H$423,"&gt;="&amp;DATE(YEAR(calc!$E$9),MONTH(calc!$E$9),1),'Falls Data Entry'!$H$6:$H$423,"&lt;="&amp;EOMONTH(DATE(YEAR(calc!$E$9),MONTH(calc!$E$9),1),0),'Falls Data Entry'!$A$6:$A$423,D276)</f>
        <v>0</v>
      </c>
      <c r="F276" s="82" t="str">
        <f>IFERROR(E276/($E$264+$E$268+$E$272+$E$276+$E$280+$E$284+$E$288)," ")</f>
        <v xml:space="preserve"> </v>
      </c>
      <c r="G276" s="22">
        <f>COUNTIFS('Falls Data Entry'!$H$6:$H$423,"&lt;&gt;"&amp;" ",'Falls Data Entry'!$Q$6:$Q$423,"="&amp;"Bone fracture",'Falls Data Entry'!$H$6:$H$423,"&gt;="&amp;DATE(YEAR(VALUE(calc!$E$10)),1,1),'Falls Data Entry'!$H$6:$H$423,"&lt;="&amp;DATE(YEAR(VALUE(calc!$E$10)),12,31),'Falls Data Entry'!$A$6:$A$423,D276)</f>
        <v>0</v>
      </c>
      <c r="H276" s="82" t="str">
        <f>IFERROR(G276/($G$264+$G$268+$G$272+$G$276+$G$280+$G$284+$G$288)," ")</f>
        <v xml:space="preserve"> </v>
      </c>
    </row>
    <row r="277" spans="1:8" ht="17.25" x14ac:dyDescent="0.3">
      <c r="A277" s="7">
        <v>4.5</v>
      </c>
      <c r="B277" s="7"/>
      <c r="C277" s="80" t="s">
        <v>94</v>
      </c>
      <c r="D277" s="81" t="s">
        <v>3</v>
      </c>
      <c r="E277" s="22">
        <f>COUNTIFS('Falls Data Entry'!$H$6:$H$423,"&lt;&gt;"&amp;" ",'Falls Data Entry'!$Q$6:$Q$423,"="&amp;"Joint dislocation",'Falls Data Entry'!$H$6:$H$423,"&gt;="&amp;DATE(YEAR(calc!$E$9),MONTH(calc!$E$9),1),'Falls Data Entry'!$H$6:$H$423,"&lt;="&amp;EOMONTH(DATE(YEAR(calc!$E$9),MONTH(calc!$E$9),1),0))</f>
        <v>0</v>
      </c>
      <c r="F277" s="82" t="str">
        <f>IFERROR(E277/($E$261+$E$265+$E$269+$E$273+$E$277+$E$281+$E$285)," ")</f>
        <v xml:space="preserve"> </v>
      </c>
      <c r="G277" s="22">
        <f>COUNTIFS('Falls Data Entry'!$H$6:$H$423,"&lt;&gt;"&amp;" ",'Falls Data Entry'!$Q$6:$Q$423,"="&amp;"Joint dislocation",'Falls Data Entry'!$H$6:$H$423,"&gt;="&amp;DATE(YEAR(VALUE(calc!$E$10)),1,1),'Falls Data Entry'!$H$6:$H$423,"&lt;="&amp;DATE(YEAR(VALUE(calc!$E$10)),12,31))</f>
        <v>0</v>
      </c>
      <c r="H277" s="82" t="str">
        <f>IFERROR(G277/($G$261+$G$265+$G$269+$G$273+$G$277+$G$281+$G$285)," ")</f>
        <v xml:space="preserve"> </v>
      </c>
    </row>
    <row r="278" spans="1:8" ht="17.25" x14ac:dyDescent="0.3">
      <c r="A278" s="7">
        <v>4.7352941176470598</v>
      </c>
      <c r="B278" s="7"/>
      <c r="C278" s="83"/>
      <c r="D278" s="84" t="str">
        <f>IF(ISNONTEXT($E$7),"",$E$7)</f>
        <v>Unit 1</v>
      </c>
      <c r="E278" s="22">
        <f>COUNTIFS('Falls Data Entry'!$H$6:$H$423,"&lt;&gt;"&amp;" ",'Falls Data Entry'!$Q$6:$Q$423,"="&amp;"Joint dislocation",'Falls Data Entry'!$H$6:$H$423,"&gt;="&amp;DATE(YEAR(calc!$E$9),MONTH(calc!$E$9),1),'Falls Data Entry'!$H$6:$H$423,"&lt;="&amp;EOMONTH(DATE(YEAR(calc!$E$9),MONTH(calc!$E$9),1),0),'Falls Data Entry'!$A$6:$A$423,D278)</f>
        <v>0</v>
      </c>
      <c r="F278" s="82" t="str">
        <f>IFERROR(E278/($E$262+$E$266+$E$270+$E$274+$E$278+$E$282+$E$286)," ")</f>
        <v xml:space="preserve"> </v>
      </c>
      <c r="G278" s="22">
        <f>COUNTIFS('Falls Data Entry'!$H$6:$H$423,"&lt;&gt;"&amp;" ",'Falls Data Entry'!$Q$6:$Q$423,"="&amp;"Joint dislocation",'Falls Data Entry'!$H$6:$H$423,"&gt;="&amp;DATE(YEAR(VALUE(calc!$E$10)),1,1),'Falls Data Entry'!$H$6:$H$423,"&lt;="&amp;DATE(YEAR(VALUE(calc!$E$10)),12,31),'Falls Data Entry'!$A$6:$A$423,D278)</f>
        <v>0</v>
      </c>
      <c r="H278" s="82" t="str">
        <f>IFERROR(G278/($G$262+$G$266+$G$270+$G$274+$G$278+$G$282+$G$286)," ")</f>
        <v xml:space="preserve"> </v>
      </c>
    </row>
    <row r="279" spans="1:8" ht="17.25" x14ac:dyDescent="0.3">
      <c r="A279" s="7">
        <v>4.9705882352941204</v>
      </c>
      <c r="B279" s="7"/>
      <c r="C279" s="83"/>
      <c r="D279" s="84" t="str">
        <f>IF(ISNONTEXT($F$7),"",$F$7)</f>
        <v/>
      </c>
      <c r="E279" s="22">
        <f>COUNTIFS('Falls Data Entry'!$H$6:$H$423,"&lt;&gt;"&amp;" ",'Falls Data Entry'!$Q$6:$Q$423,"="&amp;"Joint dislocation",'Falls Data Entry'!$H$6:$H$423,"&gt;="&amp;DATE(YEAR(calc!$E$9),MONTH(calc!$E$9),1),'Falls Data Entry'!$H$6:$H$423,"&lt;="&amp;EOMONTH(DATE(YEAR(calc!$E$9),MONTH(calc!$E$9),1),0),'Falls Data Entry'!$A$6:$A$423,D279)</f>
        <v>0</v>
      </c>
      <c r="F279" s="82" t="str">
        <f>IFERROR(E279/($E$263+$E$267+$E$271+$E$275+$E$279+$E$283+$E$287)," ")</f>
        <v xml:space="preserve"> </v>
      </c>
      <c r="G279" s="22">
        <f>COUNTIFS('Falls Data Entry'!$H$6:$H$423,"&lt;&gt;"&amp;" ",'Falls Data Entry'!$Q$6:$Q$423,"="&amp;"Joint dislocation",'Falls Data Entry'!$H$6:$H$423,"&gt;="&amp;DATE(YEAR(VALUE(calc!$E$10)),1,1),'Falls Data Entry'!$H$6:$H$423,"&lt;="&amp;DATE(YEAR(VALUE(calc!$E$10)),12,31),'Falls Data Entry'!$A$6:$A$423,D279)</f>
        <v>0</v>
      </c>
      <c r="H279" s="82" t="str">
        <f>IFERROR(G279/($G$263+$G$267+$G$271+$G$275+$G$279+$G$283+$G$287)," ")</f>
        <v xml:space="preserve"> </v>
      </c>
    </row>
    <row r="280" spans="1:8" ht="17.25" x14ac:dyDescent="0.3">
      <c r="A280" s="7">
        <v>5.2058823529411802</v>
      </c>
      <c r="B280" s="7"/>
      <c r="C280" s="94"/>
      <c r="D280" s="84" t="str">
        <f>IF(ISNONTEXT($G$7),"",$G$7)</f>
        <v/>
      </c>
      <c r="E280" s="22">
        <f>COUNTIFS('Falls Data Entry'!$H$6:$H$423,"&lt;&gt;"&amp;" ",'Falls Data Entry'!$Q$6:$Q$423,"="&amp;"Joint dislocation",'Falls Data Entry'!$H$6:$H$423,"&gt;="&amp;DATE(YEAR(calc!$E$9),MONTH(calc!$E$9),1),'Falls Data Entry'!$H$6:$H$423,"&lt;="&amp;EOMONTH(DATE(YEAR(calc!$E$9),MONTH(calc!$E$9),1),0),'Falls Data Entry'!$A$6:$A$423,D280)</f>
        <v>0</v>
      </c>
      <c r="F280" s="82" t="str">
        <f>IFERROR(E280/($E$264+$E$268+$E$272+$E$276+$E$280+$E$284+$E$288)," ")</f>
        <v xml:space="preserve"> </v>
      </c>
      <c r="G280" s="22">
        <f>COUNTIFS('Falls Data Entry'!$H$6:$H$423,"&lt;&gt;"&amp;" ",'Falls Data Entry'!$Q$6:$Q$423,"="&amp;"Joint dislocation",'Falls Data Entry'!$H$6:$H$423,"&gt;="&amp;DATE(YEAR(VALUE(calc!$E$10)),1,1),'Falls Data Entry'!$H$6:$H$423,"&lt;="&amp;DATE(YEAR(VALUE(calc!$E$10)),12,31),'Falls Data Entry'!$A$6:$A$423,D280)</f>
        <v>0</v>
      </c>
      <c r="H280" s="82" t="str">
        <f>IFERROR(G280/($G$264+$G$268+$G$272+$G$276+$G$280+$G$284+$G$288)," ")</f>
        <v xml:space="preserve"> </v>
      </c>
    </row>
    <row r="281" spans="1:8" ht="17.25" x14ac:dyDescent="0.3">
      <c r="A281" s="7">
        <v>6</v>
      </c>
      <c r="B281" s="7"/>
      <c r="C281" s="80" t="s">
        <v>95</v>
      </c>
      <c r="D281" s="81" t="s">
        <v>3</v>
      </c>
      <c r="E281" s="22">
        <f>COUNTIFS('Falls Data Entry'!$H$6:$H$423,"&lt;&gt;"&amp;" ",'Falls Data Entry'!$Q$6:$Q$423,"="&amp;"Closed head injury w/ Altered Consciousness",'Falls Data Entry'!$H$6:$H$423,"&gt;="&amp;DATE(YEAR(calc!$E$9),MONTH(calc!$E$9),1),'Falls Data Entry'!$H$6:$H$423,"&lt;="&amp;EOMONTH(DATE(YEAR(calc!$E$9),MONTH(calc!$E$9),1),0))</f>
        <v>0</v>
      </c>
      <c r="F281" s="82" t="str">
        <f>IFERROR(E281/($E$261+$E$265+$E$269+$E$273+$E$277+$E$281+$E$285)," ")</f>
        <v xml:space="preserve"> </v>
      </c>
      <c r="G281" s="22">
        <f>COUNTIFS('Falls Data Entry'!$H$6:$H$423,"&lt;&gt;"&amp;" ",'Falls Data Entry'!$Q$6:$Q$423,"="&amp;"Closed head injury w/ Altered Consciousness",'Falls Data Entry'!$H$6:$H$423,"&gt;="&amp;DATE(YEAR(VALUE(calc!$E$10)),1,1),'Falls Data Entry'!$H$6:$H$423,"&lt;="&amp;DATE(YEAR(VALUE(calc!$E$10)),12,31))</f>
        <v>0</v>
      </c>
      <c r="H281" s="82" t="str">
        <f>IFERROR(G281/($G$261+$G$265+$G$269+$G$273+$G$277+$G$281+$G$285)," ")</f>
        <v xml:space="preserve"> </v>
      </c>
    </row>
    <row r="282" spans="1:8" ht="17.25" x14ac:dyDescent="0.3">
      <c r="A282" s="7">
        <v>5.6764705882352997</v>
      </c>
      <c r="B282" s="46" t="s">
        <v>90</v>
      </c>
      <c r="C282" s="87"/>
      <c r="D282" s="84" t="str">
        <f>IF(ISNONTEXT($E$7),"",$E$7)</f>
        <v>Unit 1</v>
      </c>
      <c r="E282" s="22">
        <f>COUNTIFS('Falls Data Entry'!$H$6:$H$423,"&lt;&gt;"&amp;" ",'Falls Data Entry'!$Q$6:$Q$423,"="&amp;"Closed head injury w/ Altered Consciousness",'Falls Data Entry'!$H$6:$H$423,"&gt;="&amp;DATE(YEAR(calc!$E$9),MONTH(calc!$E$9),1),'Falls Data Entry'!$H$6:$H$423,"&lt;="&amp;EOMONTH(DATE(YEAR(calc!$E$9),MONTH(calc!$E$9),1),0),'Falls Data Entry'!$A$6:$A$423,D282)</f>
        <v>0</v>
      </c>
      <c r="F282" s="82" t="str">
        <f>IFERROR(E282/($E$262+$E$266+$E$270+$E$274+$E$278+$E$282+$E$286)," ")</f>
        <v xml:space="preserve"> </v>
      </c>
      <c r="G282" s="22">
        <f>COUNTIFS('Falls Data Entry'!$H$6:$H$423,"&lt;&gt;"&amp;" ",'Falls Data Entry'!$Q$6:$Q$423,"="&amp;"Closed head injury w/ Altered Consciousness",'Falls Data Entry'!$H$6:$H$423,"&gt;="&amp;DATE(YEAR(VALUE(calc!$E$10)),1,1),'Falls Data Entry'!$H$6:$H$423,"&lt;="&amp;DATE(YEAR(VALUE(calc!$E$10)),12,31),'Falls Data Entry'!$A$6:$A$423,D282)</f>
        <v>0</v>
      </c>
      <c r="H282" s="82" t="str">
        <f>IFERROR(G282/($G$262+$G$266+$G$270+$G$274+$G$278+$G$282+$G$286)," ")</f>
        <v xml:space="preserve"> </v>
      </c>
    </row>
    <row r="283" spans="1:8" ht="17.25" x14ac:dyDescent="0.3">
      <c r="A283" s="7">
        <v>5.9117647058823497</v>
      </c>
      <c r="B283" s="46" t="s">
        <v>91</v>
      </c>
      <c r="C283" s="87"/>
      <c r="D283" s="84" t="str">
        <f>IF(ISNONTEXT($F$7),"",$F$7)</f>
        <v/>
      </c>
      <c r="E283" s="22">
        <f>COUNTIFS('Falls Data Entry'!$H$6:$H$423,"&lt;&gt;"&amp;" ",'Falls Data Entry'!$Q$6:$Q$423,"="&amp;"Closed head injury w/ Altered Consciousness",'Falls Data Entry'!$H$6:$H$423,"&gt;="&amp;DATE(YEAR(calc!$E$9),MONTH(calc!$E$9),1),'Falls Data Entry'!$H$6:$H$423,"&lt;="&amp;EOMONTH(DATE(YEAR(calc!$E$9),MONTH(calc!$E$9),1),0),'Falls Data Entry'!$A$6:$A$423,D283)</f>
        <v>0</v>
      </c>
      <c r="F283" s="82" t="str">
        <f>IFERROR(E283/($E$263+$E$267+$E$271+$E$275+$E$279+$E$283+$E$287)," ")</f>
        <v xml:space="preserve"> </v>
      </c>
      <c r="G283" s="22">
        <f>COUNTIFS('Falls Data Entry'!$H$6:$H$423,"&lt;&gt;"&amp;" ",'Falls Data Entry'!$Q$6:$Q$423,"="&amp;"Closed head injury w/ Altered Consciousness",'Falls Data Entry'!$H$6:$H$423,"&gt;="&amp;DATE(YEAR(VALUE(calc!$E$10)),1,1),'Falls Data Entry'!$H$6:$H$423,"&lt;="&amp;DATE(YEAR(VALUE(calc!$E$10)),12,31),'Falls Data Entry'!$A$6:$A$423,D283)</f>
        <v>0</v>
      </c>
      <c r="H283" s="82" t="str">
        <f>IFERROR(G283/($G$263+$G$267+$G$271+$G$275+$G$279+$G$283+$G$287)," ")</f>
        <v xml:space="preserve"> </v>
      </c>
    </row>
    <row r="284" spans="1:8" ht="17.25" x14ac:dyDescent="0.3">
      <c r="A284" s="7">
        <v>6.1470588235294104</v>
      </c>
      <c r="B284" s="46" t="s">
        <v>92</v>
      </c>
      <c r="C284" s="87"/>
      <c r="D284" s="84" t="str">
        <f>IF(ISNONTEXT($G$7),"",$G$7)</f>
        <v/>
      </c>
      <c r="E284" s="22">
        <f>COUNTIFS('Falls Data Entry'!$H$6:$H$423,"&lt;&gt;"&amp;" ",'Falls Data Entry'!$Q$6:$Q$423,"="&amp;"Closed head injury w/ Altered Consciousness",'Falls Data Entry'!$H$6:$H$423,"&gt;="&amp;DATE(YEAR(calc!$E$9),MONTH(calc!$E$9),1),'Falls Data Entry'!$H$6:$H$423,"&lt;="&amp;EOMONTH(DATE(YEAR(calc!$E$9),MONTH(calc!$E$9),1),0),'Falls Data Entry'!$A$6:$A$423,D284)</f>
        <v>0</v>
      </c>
      <c r="F284" s="82" t="str">
        <f>IFERROR(E284/($E$264+$E$268+$E$272+$E$276+$E$280+$E$284+$E$288)," ")</f>
        <v xml:space="preserve"> </v>
      </c>
      <c r="G284" s="22">
        <f>COUNTIFS('Falls Data Entry'!$H$6:$H$423,"&lt;&gt;"&amp;" ",'Falls Data Entry'!$Q$6:$Q$423,"="&amp;"Closed head injury w/ Altered Consciousness",'Falls Data Entry'!$H$6:$H$423,"&gt;="&amp;DATE(YEAR(VALUE(calc!$E$10)),1,1),'Falls Data Entry'!$H$6:$H$423,"&lt;="&amp;DATE(YEAR(VALUE(calc!$E$10)),12,31),'Falls Data Entry'!$A$6:$A$423,D284)</f>
        <v>0</v>
      </c>
      <c r="H284" s="82" t="str">
        <f>IFERROR(G284/($G$264+$G$268+$G$272+$G$276+$G$280+$G$284+$G$288)," ")</f>
        <v xml:space="preserve"> </v>
      </c>
    </row>
    <row r="285" spans="1:8" ht="17.25" x14ac:dyDescent="0.3">
      <c r="A285" s="7">
        <v>7</v>
      </c>
      <c r="B285" s="46" t="s">
        <v>93</v>
      </c>
      <c r="C285" s="80" t="s">
        <v>96</v>
      </c>
      <c r="D285" s="81" t="s">
        <v>3</v>
      </c>
      <c r="E285" s="22">
        <f>COUNTIFS('Falls Data Entry'!$H$6:$H$423,"&lt;&gt;"&amp;" ",'Falls Data Entry'!$Q$6:$Q$423,"="&amp;"Subdural hematoma",'Falls Data Entry'!$H$6:$H$423,"&gt;="&amp;DATE(YEAR(calc!$E$9),MONTH(calc!$E$9),1),'Falls Data Entry'!$H$6:$H$423,"&lt;="&amp;EOMONTH(DATE(YEAR(calc!$E$9),MONTH(calc!$E$9),1),0))</f>
        <v>0</v>
      </c>
      <c r="F285" s="82" t="str">
        <f>IFERROR(E285/($E$261+$E$265+$E$269+$E$273+$E$277+$E$281+$E$285)," ")</f>
        <v xml:space="preserve"> </v>
      </c>
      <c r="G285" s="22">
        <f>COUNTIFS('Falls Data Entry'!$H$6:$H$423,"&lt;&gt;"&amp;" ",'Falls Data Entry'!$Q$6:$Q$423,"="&amp;"Subdural hematoma",'Falls Data Entry'!$H$6:$H$423,"&gt;="&amp;DATE(YEAR(VALUE(calc!$E$10)),1,1),'Falls Data Entry'!$H$6:$H$423,"&lt;="&amp;DATE(YEAR(VALUE(calc!$E$10)),12,31))</f>
        <v>0</v>
      </c>
      <c r="H285" s="82" t="str">
        <f>IFERROR(G285/($G$261+$G$265+$G$269+$G$273+$G$277+$G$281+$G$285)," ")</f>
        <v xml:space="preserve"> </v>
      </c>
    </row>
    <row r="286" spans="1:8" ht="17.25" x14ac:dyDescent="0.3">
      <c r="A286" s="7">
        <v>6.6176470588235299</v>
      </c>
      <c r="B286" s="46" t="s">
        <v>94</v>
      </c>
      <c r="C286" s="83"/>
      <c r="D286" s="84" t="str">
        <f>IF(ISNONTEXT($E$7),"",$E$7)</f>
        <v>Unit 1</v>
      </c>
      <c r="E286" s="22">
        <f>COUNTIFS('Falls Data Entry'!$H$6:$H$423,"&lt;&gt;"&amp;" ",'Falls Data Entry'!$Q$6:$Q$423,"="&amp;"Subdural hematoma",'Falls Data Entry'!$H$6:$H$423,"&gt;="&amp;DATE(YEAR(calc!$E$9),MONTH(calc!$E$9),1),'Falls Data Entry'!$H$6:$H$423,"&lt;="&amp;EOMONTH(DATE(YEAR(calc!$E$9),MONTH(calc!$E$9),1),0),'Falls Data Entry'!$A$6:$A$423,D286)</f>
        <v>0</v>
      </c>
      <c r="F286" s="82" t="str">
        <f>IFERROR(E286/($E$262+$E$266+$E$270+$E$274+$E$278+$E$282+$E$286)," ")</f>
        <v xml:space="preserve"> </v>
      </c>
      <c r="G286" s="22">
        <f>COUNTIFS('Falls Data Entry'!$H$6:$H$423,"&lt;&gt;"&amp;" ",'Falls Data Entry'!$Q$6:$Q$423,"="&amp;"Subdural hematoma",'Falls Data Entry'!$H$6:$H$423,"&gt;="&amp;DATE(YEAR(VALUE(calc!$E$10)),1,1),'Falls Data Entry'!$H$6:$H$423,"&lt;="&amp;DATE(YEAR(VALUE(calc!$E$10)),12,31),'Falls Data Entry'!$A$6:$A$423,D286)</f>
        <v>0</v>
      </c>
      <c r="H286" s="82" t="str">
        <f>IFERROR(G286/($G$262+$G$266+$G$270+$G$274+$G$278+$G$282+$G$286)," ")</f>
        <v xml:space="preserve"> </v>
      </c>
    </row>
    <row r="287" spans="1:8" ht="17.25" x14ac:dyDescent="0.3">
      <c r="A287" s="7">
        <v>6.8529411764705896</v>
      </c>
      <c r="B287" s="46" t="s">
        <v>95</v>
      </c>
      <c r="C287" s="83"/>
      <c r="D287" s="84" t="str">
        <f>IF(ISNONTEXT($F$7),"",$F$7)</f>
        <v/>
      </c>
      <c r="E287" s="22">
        <f>COUNTIFS('Falls Data Entry'!$H$6:$H$423,"&lt;&gt;"&amp;" ",'Falls Data Entry'!$Q$6:$Q$423,"="&amp;"Subdural hematoma",'Falls Data Entry'!$H$6:$H$423,"&gt;="&amp;DATE(YEAR(calc!$E$9),MONTH(calc!$E$9),1),'Falls Data Entry'!$H$6:$H$423,"&lt;="&amp;EOMONTH(DATE(YEAR(calc!$E$9),MONTH(calc!$E$9),1),0),'Falls Data Entry'!$A$6:$A$423,D287)</f>
        <v>0</v>
      </c>
      <c r="F287" s="82" t="str">
        <f>IFERROR(E287/($E$263+$E$267+$E$271+$E$275+$E$279+$E$283+$E$287)," ")</f>
        <v xml:space="preserve"> </v>
      </c>
      <c r="G287" s="22">
        <f>COUNTIFS('Falls Data Entry'!$H$6:$H$423,"&lt;&gt;"&amp;" ",'Falls Data Entry'!$Q$6:$Q$423,"="&amp;"Subdural hematoma",'Falls Data Entry'!$H$6:$H$423,"&gt;="&amp;DATE(YEAR(VALUE(calc!$E$10)),1,1),'Falls Data Entry'!$H$6:$H$423,"&lt;="&amp;DATE(YEAR(VALUE(calc!$E$10)),12,31),'Falls Data Entry'!$A$6:$A$423,D287)</f>
        <v>0</v>
      </c>
      <c r="H287" s="82" t="str">
        <f>IFERROR(G287/($G$263+$G$267+$G$271+$G$275+$G$279+$G$283+$G$287)," ")</f>
        <v xml:space="preserve"> </v>
      </c>
    </row>
    <row r="288" spans="1:8" ht="17.25" x14ac:dyDescent="0.3">
      <c r="A288" s="7">
        <v>7.0882352941176503</v>
      </c>
      <c r="B288" s="46" t="s">
        <v>96</v>
      </c>
      <c r="C288" s="94"/>
      <c r="D288" s="84" t="str">
        <f>IF(ISNONTEXT($G$7),"",$G$7)</f>
        <v/>
      </c>
      <c r="E288" s="22">
        <f>COUNTIFS('Falls Data Entry'!$H$6:$H$423,"&lt;&gt;"&amp;" ",'Falls Data Entry'!$Q$6:$Q$423,"="&amp;"Subdural hematoma",'Falls Data Entry'!$H$6:$H$423,"&gt;="&amp;DATE(YEAR(calc!$E$9),MONTH(calc!$E$9),1),'Falls Data Entry'!$H$6:$H$423,"&lt;="&amp;EOMONTH(DATE(YEAR(calc!$E$9),MONTH(calc!$E$9),1),0),'Falls Data Entry'!$A$6:$A$423,D288)</f>
        <v>0</v>
      </c>
      <c r="F288" s="82" t="str">
        <f>IFERROR(E288/($E$264+$E$268+$E$272+$E$276+$E$280+$E$284+$E$288)," ")</f>
        <v xml:space="preserve"> </v>
      </c>
      <c r="G288" s="22">
        <f>COUNTIFS('Falls Data Entry'!$H$6:$H$423,"&lt;&gt;"&amp;" ",'Falls Data Entry'!$Q$6:$Q$423,"="&amp;"Subdural hematoma",'Falls Data Entry'!$H$6:$H$423,"&gt;="&amp;DATE(YEAR(VALUE(calc!$E$10)),1,1),'Falls Data Entry'!$H$6:$H$423,"&lt;="&amp;DATE(YEAR(VALUE(calc!$E$10)),12,31),'Falls Data Entry'!$A$6:$A$423,D288)</f>
        <v>0</v>
      </c>
      <c r="H288" s="82" t="str">
        <f>IFERROR(G288/($G$264+$G$268+$G$272+$G$276+$G$280+$G$284+$G$288)," ")</f>
        <v xml:space="preserve"> </v>
      </c>
    </row>
    <row r="292" spans="3:8" ht="20.25" x14ac:dyDescent="0.35">
      <c r="C292" s="76" t="s">
        <v>97</v>
      </c>
      <c r="D292" s="44"/>
      <c r="E292" s="168">
        <f>$E$9</f>
        <v>46174</v>
      </c>
      <c r="F292" s="168"/>
      <c r="G292" s="169" t="s">
        <v>11</v>
      </c>
      <c r="H292" s="169"/>
    </row>
    <row r="293" spans="3:8" ht="51.75" x14ac:dyDescent="0.3">
      <c r="C293" s="87"/>
      <c r="D293" s="7"/>
      <c r="E293" s="88" t="s">
        <v>98</v>
      </c>
      <c r="F293" s="88" t="s">
        <v>99</v>
      </c>
      <c r="G293" s="88" t="s">
        <v>98</v>
      </c>
      <c r="H293" s="88" t="s">
        <v>99</v>
      </c>
    </row>
    <row r="294" spans="3:8" ht="17.25" x14ac:dyDescent="0.3">
      <c r="C294" s="80" t="s">
        <v>100</v>
      </c>
      <c r="D294" s="81" t="s">
        <v>3</v>
      </c>
      <c r="E294" s="22">
        <f>COUNTIFS('Falls Data Entry'!$H$6:$H$423,"&lt;&gt;"&amp;" ",'Falls Data Entry'!$S$6:$S$423,"="&amp;"Facility",'Falls Data Entry'!$H$6:$H$423,"&gt;="&amp;DATE(YEAR(calc!$E$9),MONTH(calc!$E$9),1),'Falls Data Entry'!$H$6:$H$423,"&lt;="&amp;EOMONTH(DATE(YEAR(calc!$E$9),MONTH(calc!$E$9),1),0))</f>
        <v>0</v>
      </c>
      <c r="F294" s="82" t="str">
        <f>IFERROR(E294/($E$294+$E$298+$E$302)," ")</f>
        <v xml:space="preserve"> </v>
      </c>
      <c r="G294" s="22">
        <f>COUNTIFS('Falls Data Entry'!$H$6:$H$423,"&lt;&gt;"&amp;" ",'Falls Data Entry'!$S$6:$S$423,"="&amp;"Facility",'Falls Data Entry'!$H$6:$H$423,"&gt;="&amp;DATE(YEAR(VALUE(calc!$E$10)),1,1),'Falls Data Entry'!$H$6:$H$423,"&lt;="&amp;DATE(YEAR(VALUE(calc!$E$10)),12,31))</f>
        <v>0</v>
      </c>
      <c r="H294" s="82" t="str">
        <f>IFERROR(G294/($G$294+$G$298+$G$302)," ")</f>
        <v xml:space="preserve"> </v>
      </c>
    </row>
    <row r="295" spans="3:8" ht="17.25" x14ac:dyDescent="0.3">
      <c r="C295" s="83"/>
      <c r="D295" s="84" t="str">
        <f>IF(ISNONTEXT($E$7),"",$E$7)</f>
        <v>Unit 1</v>
      </c>
      <c r="E295" s="22">
        <f>COUNTIFS('Falls Data Entry'!$H$6:$H$423,"&lt;&gt;"&amp;" ",'Falls Data Entry'!$S$6:$S$423,"="&amp;"Facility",'Falls Data Entry'!$H$6:$H$423,"&gt;="&amp;DATE(YEAR(calc!$E$9),MONTH(calc!$E$9),1),'Falls Data Entry'!$H$6:$H$423,"&lt;="&amp;EOMONTH(DATE(YEAR(calc!$E$9),MONTH(calc!$E$9),1),0),'Falls Data Entry'!$A$6:$A$423,D295)</f>
        <v>0</v>
      </c>
      <c r="F295" s="82" t="str">
        <f>IFERROR(E295/($E$295+$E$299+$E$303)," ")</f>
        <v xml:space="preserve"> </v>
      </c>
      <c r="G295" s="22">
        <f>COUNTIFS('Falls Data Entry'!$H$6:$H$423,"&lt;&gt;"&amp;" ",'Falls Data Entry'!$S$6:$S$423,"="&amp;"Facility",'Falls Data Entry'!$H$6:$H$423,"&gt;="&amp;DATE(YEAR(VALUE(calc!$E$10)),1,1),'Falls Data Entry'!$H$6:$H$423,"&lt;="&amp;DATE(YEAR(VALUE(calc!$E$10)),12,31),'Falls Data Entry'!$A$6:$A$423,D295)</f>
        <v>0</v>
      </c>
      <c r="H295" s="82" t="str">
        <f>IFERROR(G295/($G$295+$G$299+$G$303)," ")</f>
        <v xml:space="preserve"> </v>
      </c>
    </row>
    <row r="296" spans="3:8" ht="17.25" x14ac:dyDescent="0.3">
      <c r="C296" s="83"/>
      <c r="D296" s="84" t="str">
        <f>IF(ISNONTEXT($F$7),"",$F$7)</f>
        <v/>
      </c>
      <c r="E296" s="22">
        <f>COUNTIFS('Falls Data Entry'!$H$6:$H$423,"&lt;&gt;"&amp;" ",'Falls Data Entry'!$S$6:$S$423,"="&amp;"Facility",'Falls Data Entry'!$H$6:$H$423,"&gt;="&amp;DATE(YEAR(calc!$E$9),MONTH(calc!$E$9),1),'Falls Data Entry'!$H$6:$H$423,"&lt;="&amp;EOMONTH(DATE(YEAR(calc!$E$9),MONTH(calc!$E$9),1),0),'Falls Data Entry'!$A$6:$A$423,D296)</f>
        <v>0</v>
      </c>
      <c r="F296" s="82" t="str">
        <f>IFERROR(E296/($E$296+$E$300+$E$304)," ")</f>
        <v xml:space="preserve"> </v>
      </c>
      <c r="G296" s="22">
        <f>COUNTIFS('Falls Data Entry'!$H$6:$H$423,"&lt;&gt;"&amp;" ",'Falls Data Entry'!$S$6:$S$423,"="&amp;"Facility",'Falls Data Entry'!$H$6:$H$423,"&gt;="&amp;DATE(YEAR(VALUE(calc!$E$10)),1,1),'Falls Data Entry'!$H$6:$H$423,"&lt;="&amp;DATE(YEAR(VALUE(calc!$E$10)),12,31),'Falls Data Entry'!$A$6:$A$423,D296)</f>
        <v>0</v>
      </c>
      <c r="H296" s="82" t="str">
        <f>IFERROR(G296/($G$296+$G$300+$G$304)," ")</f>
        <v xml:space="preserve"> </v>
      </c>
    </row>
    <row r="297" spans="3:8" ht="17.25" x14ac:dyDescent="0.3">
      <c r="C297" s="83"/>
      <c r="D297" s="84" t="str">
        <f>IF(ISNONTEXT($G$7),"",$G$7)</f>
        <v/>
      </c>
      <c r="E297" s="22">
        <f>COUNTIFS('Falls Data Entry'!$H$6:$H$423,"&lt;&gt;"&amp;" ",'Falls Data Entry'!$S$6:$S$423,"="&amp;"Facility",'Falls Data Entry'!$H$6:$H$423,"&gt;="&amp;DATE(YEAR(calc!$E$9),MONTH(calc!$E$9),1),'Falls Data Entry'!$H$6:$H$423,"&lt;="&amp;EOMONTH(DATE(YEAR(calc!$E$9),MONTH(calc!$E$9),1),0),'Falls Data Entry'!$A$6:$A$423,D297)</f>
        <v>0</v>
      </c>
      <c r="F297" s="82" t="str">
        <f>IFERROR(E297/($E$297+$E$301+$E$305)," ")</f>
        <v xml:space="preserve"> </v>
      </c>
      <c r="G297" s="22">
        <f>COUNTIFS('Falls Data Entry'!$H$6:$H$423,"&lt;&gt;"&amp;" ",'Falls Data Entry'!$S$6:$S$423,"="&amp;"Facility",'Falls Data Entry'!$H$6:$H$423,"&gt;="&amp;DATE(YEAR(VALUE(calc!$E$10)),1,1),'Falls Data Entry'!$H$6:$H$423,"&lt;="&amp;DATE(YEAR(VALUE(calc!$E$10)),12,31),'Falls Data Entry'!$A$6:$A$423,D297)</f>
        <v>0</v>
      </c>
      <c r="H297" s="82" t="str">
        <f>IFERROR(G297/($G$297+$G$301+$G$305)," ")</f>
        <v xml:space="preserve"> </v>
      </c>
    </row>
    <row r="298" spans="3:8" ht="17.25" x14ac:dyDescent="0.3">
      <c r="C298" s="80" t="s">
        <v>101</v>
      </c>
      <c r="D298" s="81" t="s">
        <v>3</v>
      </c>
      <c r="E298" s="22">
        <f>COUNTIFS('Falls Data Entry'!$H$6:$H$423,"&lt;&gt;"&amp;" ",'Falls Data Entry'!$S$6:$S$423,"="&amp;"ER",'Falls Data Entry'!$H$6:$H$423,"&gt;="&amp;DATE(YEAR(calc!$E$9),MONTH(calc!$E$9),1),'Falls Data Entry'!$H$6:$H$423,"&lt;="&amp;EOMONTH(DATE(YEAR(calc!$E$9),MONTH(calc!$E$9),1),0))</f>
        <v>0</v>
      </c>
      <c r="F298" s="82" t="str">
        <f>IFERROR(E298/($E$294+$E$298+$E$302)," ")</f>
        <v xml:space="preserve"> </v>
      </c>
      <c r="G298" s="22">
        <f>COUNTIFS('Falls Data Entry'!$H$6:$H$423,"&lt;&gt;"&amp;" ",'Falls Data Entry'!$S$6:$S$423,"="&amp;"ER",'Falls Data Entry'!$H$6:$H$423,"&gt;="&amp;DATE(YEAR(VALUE(calc!$E$10)),1,1),'Falls Data Entry'!$H$6:$H$423,"&lt;="&amp;DATE(YEAR(VALUE(calc!$E$10)),12,31))</f>
        <v>0</v>
      </c>
      <c r="H298" s="82" t="str">
        <f>IFERROR(G298/($G$294+$G$298+$G$302)," ")</f>
        <v xml:space="preserve"> </v>
      </c>
    </row>
    <row r="299" spans="3:8" ht="17.25" x14ac:dyDescent="0.3">
      <c r="C299" s="83"/>
      <c r="D299" s="84" t="str">
        <f>IF(ISNONTEXT($E$7),"",$E$7)</f>
        <v>Unit 1</v>
      </c>
      <c r="E299" s="22">
        <f>COUNTIFS('Falls Data Entry'!$H$6:$H$423,"&lt;&gt;"&amp;" ",'Falls Data Entry'!$S$6:$S$423,"="&amp;"ER",'Falls Data Entry'!$H$6:$H$423,"&gt;="&amp;DATE(YEAR(calc!$E$9),MONTH(calc!$E$9),1),'Falls Data Entry'!$H$6:$H$423,"&lt;="&amp;EOMONTH(DATE(YEAR(calc!$E$9),MONTH(calc!$E$9),1),0),'Falls Data Entry'!$A$6:$A$423,D299)</f>
        <v>0</v>
      </c>
      <c r="F299" s="82" t="str">
        <f>IFERROR(E299/($E$295+$E$299+$E$303)," ")</f>
        <v xml:space="preserve"> </v>
      </c>
      <c r="G299" s="22">
        <f>COUNTIFS('Falls Data Entry'!$H$6:$H$423,"&lt;&gt;"&amp;" ",'Falls Data Entry'!$S$6:$S$423,"="&amp;"ER",'Falls Data Entry'!$H$6:$H$423,"&gt;="&amp;DATE(YEAR(VALUE(calc!$E$10)),1,1),'Falls Data Entry'!$H$6:$H$423,"&lt;="&amp;DATE(YEAR(VALUE(calc!$E$10)),12,31),'Falls Data Entry'!$A$6:$A$423,D299)</f>
        <v>0</v>
      </c>
      <c r="H299" s="82" t="str">
        <f>IFERROR(G299/($G$295+$G$299+$G$303)," ")</f>
        <v xml:space="preserve"> </v>
      </c>
    </row>
    <row r="300" spans="3:8" ht="17.25" x14ac:dyDescent="0.3">
      <c r="C300" s="83"/>
      <c r="D300" s="84" t="str">
        <f>IF(ISNONTEXT($F$7),"",$F$7)</f>
        <v/>
      </c>
      <c r="E300" s="22">
        <f>COUNTIFS('Falls Data Entry'!$H$6:$H$423,"&lt;&gt;"&amp;" ",'Falls Data Entry'!$S$6:$S$423,"="&amp;"ER",'Falls Data Entry'!$H$6:$H$423,"&gt;="&amp;DATE(YEAR(calc!$E$9),MONTH(calc!$E$9),1),'Falls Data Entry'!$H$6:$H$423,"&lt;="&amp;EOMONTH(DATE(YEAR(calc!$E$9),MONTH(calc!$E$9),1),0),'Falls Data Entry'!$A$6:$A$423,D300)</f>
        <v>0</v>
      </c>
      <c r="F300" s="82" t="str">
        <f>IFERROR(E300/($E$296+$E$300+$E$304)," ")</f>
        <v xml:space="preserve"> </v>
      </c>
      <c r="G300" s="22">
        <f>COUNTIFS('Falls Data Entry'!$H$6:$H$423,"&lt;&gt;"&amp;" ",'Falls Data Entry'!$S$6:$S$423,"="&amp;"ER",'Falls Data Entry'!$H$6:$H$423,"&gt;="&amp;DATE(YEAR(VALUE(calc!$E$10)),1,1),'Falls Data Entry'!$H$6:$H$423,"&lt;="&amp;DATE(YEAR(VALUE(calc!$E$10)),12,31),'Falls Data Entry'!$A$6:$A$423,D300)</f>
        <v>0</v>
      </c>
      <c r="H300" s="82" t="str">
        <f>IFERROR(G300/($G$296+$G$300+$G$304)," ")</f>
        <v xml:space="preserve"> </v>
      </c>
    </row>
    <row r="301" spans="3:8" ht="17.25" x14ac:dyDescent="0.3">
      <c r="C301" s="83"/>
      <c r="D301" s="84" t="str">
        <f>IF(ISNONTEXT($G$7),"",$G$7)</f>
        <v/>
      </c>
      <c r="E301" s="22">
        <f>COUNTIFS('Falls Data Entry'!$H$6:$H$423,"&lt;&gt;"&amp;" ",'Falls Data Entry'!$S$6:$S$423,"="&amp;"ER",'Falls Data Entry'!$H$6:$H$423,"&gt;="&amp;DATE(YEAR(calc!$E$9),MONTH(calc!$E$9),1),'Falls Data Entry'!$H$6:$H$423,"&lt;="&amp;EOMONTH(DATE(YEAR(calc!$E$9),MONTH(calc!$E$9),1),0),'Falls Data Entry'!$A$6:$A$423,D301)</f>
        <v>0</v>
      </c>
      <c r="F301" s="82" t="str">
        <f>IFERROR(E301/($E$297+$E$301+$E$305)," ")</f>
        <v xml:space="preserve"> </v>
      </c>
      <c r="G301" s="22">
        <f>COUNTIFS('Falls Data Entry'!$H$6:$H$423,"&lt;&gt;"&amp;" ",'Falls Data Entry'!$S$6:$S$423,"="&amp;"ER",'Falls Data Entry'!$H$6:$H$423,"&gt;="&amp;DATE(YEAR(VALUE(calc!$E$10)),1,1),'Falls Data Entry'!$H$6:$H$423,"&lt;="&amp;DATE(YEAR(VALUE(calc!$E$10)),12,31),'Falls Data Entry'!$A$6:$A$423,D301)</f>
        <v>0</v>
      </c>
      <c r="H301" s="82" t="str">
        <f>IFERROR(G301/($G$297+$G$301+$G$305)," ")</f>
        <v xml:space="preserve"> </v>
      </c>
    </row>
    <row r="302" spans="3:8" ht="17.25" x14ac:dyDescent="0.3">
      <c r="C302" s="80" t="s">
        <v>102</v>
      </c>
      <c r="D302" s="81" t="s">
        <v>3</v>
      </c>
      <c r="E302" s="22">
        <f>COUNTIFS('Falls Data Entry'!$H$6:$H$423,"&lt;&gt;"&amp;" ",'Falls Data Entry'!$S$6:$S$423,"="&amp;"Admitted",'Falls Data Entry'!$H$6:$H$423,"&gt;="&amp;DATE(YEAR(calc!$E$9),MONTH(calc!$E$9),1),'Falls Data Entry'!$H$6:$H$423,"&lt;="&amp;EOMONTH(DATE(YEAR(calc!$E$9),MONTH(calc!$E$9),1),0))</f>
        <v>0</v>
      </c>
      <c r="F302" s="82" t="str">
        <f>IFERROR(E302/($E$294+$E$298+$E$302)," ")</f>
        <v xml:space="preserve"> </v>
      </c>
      <c r="G302" s="22">
        <f>COUNTIFS('Falls Data Entry'!$H$6:$H$423,"&lt;&gt;"&amp;" ",'Falls Data Entry'!$S$6:$S$423,"="&amp;"Admitted",'Falls Data Entry'!$H$6:$H$423,"&gt;="&amp;DATE(YEAR(VALUE(calc!$E$10)),1,1),'Falls Data Entry'!$H$6:$H$423,"&lt;="&amp;DATE(YEAR(VALUE(calc!$E$10)),12,31))</f>
        <v>0</v>
      </c>
      <c r="H302" s="82" t="str">
        <f>IFERROR(G302/($G$294+$G$298+$G$302)," ")</f>
        <v xml:space="preserve"> </v>
      </c>
    </row>
    <row r="303" spans="3:8" ht="17.25" x14ac:dyDescent="0.3">
      <c r="C303" s="83"/>
      <c r="D303" s="84" t="str">
        <f>IF(ISNONTEXT($E$7),"",$E$7)</f>
        <v>Unit 1</v>
      </c>
      <c r="E303" s="22">
        <f>COUNTIFS('Falls Data Entry'!$H$6:$H$423,"&lt;&gt;"&amp;" ",'Falls Data Entry'!$S$6:$S$423,"="&amp;"Admitted",'Falls Data Entry'!$H$6:$H$423,"&gt;="&amp;DATE(YEAR(calc!$E$9),MONTH(calc!$E$9),1),'Falls Data Entry'!$H$6:$H$423,"&lt;="&amp;EOMONTH(DATE(YEAR(calc!$E$9),MONTH(calc!$E$9),1),0),'Falls Data Entry'!$A$6:$A$423,D303)</f>
        <v>0</v>
      </c>
      <c r="F303" s="82" t="str">
        <f>IFERROR(E303/($E$295+$E$299+$E$303)," ")</f>
        <v xml:space="preserve"> </v>
      </c>
      <c r="G303" s="22">
        <f>COUNTIFS('Falls Data Entry'!$H$6:$H$423,"&lt;&gt;"&amp;" ",'Falls Data Entry'!$S$6:$S$423,"="&amp;"Admitted",'Falls Data Entry'!$H$6:$H$423,"&gt;="&amp;DATE(YEAR(VALUE(calc!$E$10)),1,1),'Falls Data Entry'!$H$6:$H$423,"&lt;="&amp;DATE(YEAR(VALUE(calc!$E$10)),12,31),'Falls Data Entry'!$A$6:$A$423,D303)</f>
        <v>0</v>
      </c>
      <c r="H303" s="82" t="str">
        <f>IFERROR(G303/($G$295+$G$299+$G$303)," ")</f>
        <v xml:space="preserve"> </v>
      </c>
    </row>
    <row r="304" spans="3:8" ht="17.25" x14ac:dyDescent="0.3">
      <c r="C304" s="83"/>
      <c r="D304" s="84" t="str">
        <f>IF(ISNONTEXT($F$7),"",$F$7)</f>
        <v/>
      </c>
      <c r="E304" s="22">
        <f>COUNTIFS('Falls Data Entry'!$H$6:$H$423,"&lt;&gt;"&amp;" ",'Falls Data Entry'!$S$6:$S$423,"="&amp;"Admitted",'Falls Data Entry'!$H$6:$H$423,"&gt;="&amp;DATE(YEAR(calc!$E$9),MONTH(calc!$E$9),1),'Falls Data Entry'!$H$6:$H$423,"&lt;="&amp;EOMONTH(DATE(YEAR(calc!$E$9),MONTH(calc!$E$9),1),0),'Falls Data Entry'!$A$6:$A$423,D304)</f>
        <v>0</v>
      </c>
      <c r="F304" s="82" t="str">
        <f>IFERROR(E304/($E$296+$E$300+$E$304)," ")</f>
        <v xml:space="preserve"> </v>
      </c>
      <c r="G304" s="22">
        <f>COUNTIFS('Falls Data Entry'!$H$6:$H$423,"&lt;&gt;"&amp;" ",'Falls Data Entry'!$S$6:$S$423,"="&amp;"Admitted",'Falls Data Entry'!$H$6:$H$423,"&gt;="&amp;DATE(YEAR(VALUE(calc!$E$10)),1,1),'Falls Data Entry'!$H$6:$H$423,"&lt;="&amp;DATE(YEAR(VALUE(calc!$E$10)),12,31),'Falls Data Entry'!$A$6:$A$423,D304)</f>
        <v>0</v>
      </c>
      <c r="H304" s="82" t="str">
        <f>IFERROR(G304/($G$296+$G$300+$G$304)," ")</f>
        <v xml:space="preserve"> </v>
      </c>
    </row>
    <row r="305" spans="3:8" ht="17.25" x14ac:dyDescent="0.3">
      <c r="C305" s="94"/>
      <c r="D305" s="84" t="str">
        <f>IF(ISNONTEXT($G$7),"",$G$7)</f>
        <v/>
      </c>
      <c r="E305" s="22">
        <f>COUNTIFS('Falls Data Entry'!$H$6:$H$423,"&lt;&gt;"&amp;" ",'Falls Data Entry'!$S$6:$S$423,"="&amp;"Admitted",'Falls Data Entry'!$H$6:$H$423,"&gt;="&amp;DATE(YEAR(calc!$E$9),MONTH(calc!$E$9),1),'Falls Data Entry'!$H$6:$H$423,"&lt;="&amp;EOMONTH(DATE(YEAR(calc!$E$9),MONTH(calc!$E$9),1),0),'Falls Data Entry'!$A$6:$A$423,D305)</f>
        <v>0</v>
      </c>
      <c r="F305" s="82" t="str">
        <f>IFERROR(E305/($E$297+$E$301+$E$305)," ")</f>
        <v xml:space="preserve"> </v>
      </c>
      <c r="G305" s="22">
        <f>COUNTIFS('Falls Data Entry'!$H$6:$H$423,"&lt;&gt;"&amp;" ",'Falls Data Entry'!$S$6:$S$423,"="&amp;"Admitted",'Falls Data Entry'!$H$6:$H$423,"&gt;="&amp;DATE(YEAR(VALUE(calc!$E$10)),1,1),'Falls Data Entry'!$H$6:$H$423,"&lt;="&amp;DATE(YEAR(VALUE(calc!$E$10)),12,31),'Falls Data Entry'!$A$6:$A$423,D305)</f>
        <v>0</v>
      </c>
      <c r="H305" s="82" t="str">
        <f>IFERROR(G305/($G$297+$G$301+$G$305)," ")</f>
        <v xml:space="preserve"> </v>
      </c>
    </row>
  </sheetData>
  <sheetProtection sheet="1" objects="1" scenarios="1"/>
  <mergeCells count="32">
    <mergeCell ref="C4:O4"/>
    <mergeCell ref="C7:D7"/>
    <mergeCell ref="C9:D9"/>
    <mergeCell ref="C10:D10"/>
    <mergeCell ref="E12:F12"/>
    <mergeCell ref="G12:H12"/>
    <mergeCell ref="I12:K13"/>
    <mergeCell ref="L12:O13"/>
    <mergeCell ref="E34:F34"/>
    <mergeCell ref="G34:H34"/>
    <mergeCell ref="J35:K35"/>
    <mergeCell ref="L35:O35"/>
    <mergeCell ref="E78:F78"/>
    <mergeCell ref="G78:H78"/>
    <mergeCell ref="E110:F110"/>
    <mergeCell ref="G110:H110"/>
    <mergeCell ref="E130:F130"/>
    <mergeCell ref="G130:H130"/>
    <mergeCell ref="E179:F179"/>
    <mergeCell ref="G179:H179"/>
    <mergeCell ref="J260:K260"/>
    <mergeCell ref="L260:O260"/>
    <mergeCell ref="E292:F292"/>
    <mergeCell ref="G292:H292"/>
    <mergeCell ref="J180:K180"/>
    <mergeCell ref="L180:O180"/>
    <mergeCell ref="E227:F227"/>
    <mergeCell ref="G227:H227"/>
    <mergeCell ref="E259:F259"/>
    <mergeCell ref="G259:H259"/>
    <mergeCell ref="J228:K228"/>
    <mergeCell ref="L228:O228"/>
  </mergeCells>
  <phoneticPr fontId="34" type="noConversion"/>
  <dataValidations count="5">
    <dataValidation type="list" allowBlank="1" showInputMessage="1" showErrorMessage="1" sqref="L260:O260" xr:uid="{2ADB9338-FCA3-481B-83DB-BE03D38C6834}">
      <formula1>$B$282:$B$288</formula1>
    </dataValidation>
    <dataValidation type="list" allowBlank="1" showInputMessage="1" showErrorMessage="1" sqref="L180:O180" xr:uid="{A764AF1E-3440-49A7-9DD2-9458A6C4B0BA}">
      <formula1>$B$214:$B$224</formula1>
    </dataValidation>
    <dataValidation type="list" allowBlank="1" showInputMessage="1" showErrorMessage="1" sqref="L35:O35" xr:uid="{24F26572-728B-48F3-991C-E28C6B915BA0}">
      <formula1>$B$60:$B$68</formula1>
    </dataValidation>
    <dataValidation type="list" allowBlank="1" showInputMessage="1" showErrorMessage="1" sqref="L12:O13" xr:uid="{99E695F9-66FF-45CB-B7E3-CD71276ACAD7}">
      <formula1>$C$27:$C$29</formula1>
    </dataValidation>
    <dataValidation type="list" allowBlank="1" showInputMessage="1" showErrorMessage="1" sqref="L228:O228" xr:uid="{BEFA96CD-2B77-4938-8752-F37041EB846D}">
      <formula1>$B$246:$B$252</formula1>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46FA2DB-27DE-4C17-85E2-B8360D9603FA}">
          <x14:formula1>
            <xm:f>'Unit Designation'!$A$9:$A$29</xm:f>
          </x14:formula1>
          <xm:sqref>F7:G7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CA05A-3CBA-48F0-B1FE-B0E71D63AE56}">
  <dimension ref="A1:X156"/>
  <sheetViews>
    <sheetView showGridLines="0" zoomScale="90" zoomScaleNormal="90" workbookViewId="0">
      <pane ySplit="2" topLeftCell="A93" activePane="bottomLeft" state="frozen"/>
      <selection pane="bottomLeft" activeCell="B146" activeCellId="2" sqref="A113:A156 L113 B146:B156"/>
    </sheetView>
  </sheetViews>
  <sheetFormatPr defaultColWidth="8.85546875" defaultRowHeight="16.5" x14ac:dyDescent="0.3"/>
  <cols>
    <col min="1" max="1" width="3.28515625" style="46" customWidth="1"/>
    <col min="2" max="2" width="2.85546875" style="46" customWidth="1"/>
    <col min="3" max="3" width="36.42578125" style="33" customWidth="1"/>
    <col min="4" max="4" width="29.42578125" style="33" customWidth="1"/>
    <col min="5" max="5" width="13.7109375" style="33" customWidth="1"/>
    <col min="6" max="6" width="13.7109375" style="34" customWidth="1"/>
    <col min="7" max="7" width="13.7109375" style="33" customWidth="1"/>
    <col min="8" max="8" width="13.85546875" style="34" customWidth="1"/>
    <col min="9" max="9" width="16.140625" style="33" customWidth="1"/>
    <col min="10" max="10" width="17.28515625" style="33" customWidth="1"/>
    <col min="11" max="11" width="16.28515625" style="33" customWidth="1"/>
    <col min="12" max="12" width="16.5703125" style="33" customWidth="1"/>
    <col min="13" max="13" width="8.85546875" style="33"/>
    <col min="14" max="14" width="13.28515625" style="33" customWidth="1"/>
    <col min="15" max="15" width="11.7109375" style="33" customWidth="1"/>
    <col min="16" max="16" width="8.85546875" style="33"/>
    <col min="17" max="17" width="17" style="33" customWidth="1"/>
    <col min="18" max="18" width="18.140625" style="33" customWidth="1"/>
    <col min="19" max="16384" width="8.85546875" style="33"/>
  </cols>
  <sheetData>
    <row r="1" spans="3:15" ht="17.25" thickBot="1" x14ac:dyDescent="0.35">
      <c r="C1" s="7"/>
      <c r="D1" s="7"/>
      <c r="E1" s="7"/>
      <c r="F1" s="69"/>
      <c r="G1" s="7"/>
      <c r="H1" s="69"/>
      <c r="I1" s="7"/>
      <c r="J1" s="7"/>
      <c r="K1" s="7"/>
      <c r="L1" s="7"/>
      <c r="M1" s="7"/>
      <c r="N1" s="7"/>
      <c r="O1" s="7"/>
    </row>
    <row r="2" spans="3:15" ht="60.6" customHeight="1" thickBot="1" x14ac:dyDescent="0.35">
      <c r="C2" s="174" t="s">
        <v>2884</v>
      </c>
      <c r="D2" s="175"/>
      <c r="E2" s="175"/>
      <c r="F2" s="175"/>
      <c r="G2" s="175"/>
      <c r="H2" s="175"/>
      <c r="I2" s="175"/>
      <c r="J2" s="175"/>
      <c r="K2" s="175"/>
      <c r="L2" s="175"/>
      <c r="M2" s="175"/>
      <c r="N2" s="175"/>
      <c r="O2" s="176"/>
    </row>
    <row r="3" spans="3:15" ht="42.6" customHeight="1" x14ac:dyDescent="0.45">
      <c r="C3" s="35" t="s">
        <v>2907</v>
      </c>
      <c r="D3" s="7"/>
      <c r="E3" s="7"/>
      <c r="F3" s="69"/>
      <c r="G3" s="7"/>
      <c r="H3" s="69"/>
      <c r="I3" s="7"/>
      <c r="J3" s="7"/>
      <c r="K3" s="7"/>
      <c r="L3" s="7"/>
      <c r="M3" s="7"/>
      <c r="N3" s="65" t="s">
        <v>6</v>
      </c>
      <c r="O3" s="71">
        <f ca="1">TODAY()</f>
        <v>46183</v>
      </c>
    </row>
    <row r="4" spans="3:15" ht="25.15" hidden="1" customHeight="1" thickTop="1" thickBot="1" x14ac:dyDescent="0.5">
      <c r="C4" s="7"/>
      <c r="D4" s="36"/>
      <c r="E4" s="37" t="s">
        <v>5</v>
      </c>
      <c r="F4" s="38" t="s">
        <v>2895</v>
      </c>
      <c r="G4" s="37" t="s">
        <v>2896</v>
      </c>
      <c r="H4" s="69"/>
      <c r="I4" s="7"/>
      <c r="J4" s="7"/>
      <c r="K4" s="7"/>
      <c r="L4" s="7"/>
      <c r="M4" s="7"/>
      <c r="N4" s="7"/>
      <c r="O4" s="7"/>
    </row>
    <row r="5" spans="3:15" ht="29.45" hidden="1" customHeight="1" thickTop="1" thickBot="1" x14ac:dyDescent="0.35">
      <c r="C5" s="177" t="s">
        <v>2897</v>
      </c>
      <c r="D5" s="177"/>
      <c r="E5" s="39" t="str">
        <f>'Falls Summary'!E5</f>
        <v>Unit 1</v>
      </c>
      <c r="F5" s="39" t="str">
        <f>'Falls Summary'!F5</f>
        <v>Unit 2</v>
      </c>
      <c r="G5" s="39" t="str">
        <f>'Falls Summary'!G5</f>
        <v>Unit 3</v>
      </c>
      <c r="H5" s="69"/>
      <c r="I5" s="7"/>
      <c r="J5" s="7"/>
      <c r="K5" s="7"/>
      <c r="L5" s="7"/>
      <c r="M5" s="7"/>
      <c r="N5" s="7"/>
      <c r="O5" s="7"/>
    </row>
    <row r="6" spans="3:15" ht="19.149999999999999" hidden="1" customHeight="1" thickTop="1" thickBot="1" x14ac:dyDescent="0.35">
      <c r="C6" s="72"/>
      <c r="D6" s="72"/>
      <c r="E6" s="7"/>
      <c r="F6" s="69"/>
      <c r="G6" s="7"/>
      <c r="H6" s="69"/>
      <c r="I6" s="192" t="s">
        <v>2908</v>
      </c>
      <c r="J6" s="102" t="str">
        <f>rank!F3</f>
        <v>Unit 1</v>
      </c>
      <c r="K6" s="102" t="str">
        <f>rank!F4</f>
        <v>Unit 2</v>
      </c>
      <c r="L6" s="102" t="str">
        <f>rank!F5</f>
        <v>Unit 3</v>
      </c>
      <c r="M6" s="7"/>
      <c r="N6" s="7"/>
      <c r="O6" s="7"/>
    </row>
    <row r="7" spans="3:15" ht="30.6" hidden="1" customHeight="1" thickTop="1" thickBot="1" x14ac:dyDescent="0.35">
      <c r="C7" s="177" t="s">
        <v>2899</v>
      </c>
      <c r="D7" s="177"/>
      <c r="E7" s="73">
        <f>'Falls Summary'!E7</f>
        <v>46174</v>
      </c>
      <c r="F7" s="69"/>
      <c r="G7" s="41"/>
      <c r="H7" s="69"/>
      <c r="I7" s="192"/>
      <c r="J7" s="103">
        <f>rank!G3</f>
        <v>0</v>
      </c>
      <c r="K7" s="103">
        <f>rank!G4</f>
        <v>0</v>
      </c>
      <c r="L7" s="103">
        <f>rank!G5</f>
        <v>0</v>
      </c>
      <c r="M7" s="7"/>
      <c r="N7" s="7"/>
      <c r="O7" s="7"/>
    </row>
    <row r="8" spans="3:15" ht="29.45" hidden="1" customHeight="1" thickTop="1" thickBot="1" x14ac:dyDescent="0.35">
      <c r="C8" s="177" t="s">
        <v>2900</v>
      </c>
      <c r="D8" s="177"/>
      <c r="E8" s="74">
        <f>'Falls Summary'!E8</f>
        <v>46023</v>
      </c>
      <c r="F8" s="69"/>
      <c r="G8" s="7"/>
      <c r="H8" s="69"/>
      <c r="I8" s="7"/>
      <c r="J8" s="7"/>
      <c r="K8" s="7"/>
      <c r="L8" s="7"/>
      <c r="M8" s="7"/>
      <c r="N8" s="7"/>
      <c r="O8" s="7"/>
    </row>
    <row r="10" spans="3:15" ht="20.25" x14ac:dyDescent="0.35">
      <c r="C10" s="76" t="s">
        <v>35</v>
      </c>
      <c r="D10" s="44"/>
      <c r="E10" s="168">
        <f>'Falls Summary'!$E$7</f>
        <v>46174</v>
      </c>
      <c r="F10" s="168"/>
      <c r="G10" s="169" t="s">
        <v>11</v>
      </c>
      <c r="H10" s="169"/>
      <c r="I10" s="7"/>
      <c r="J10" s="7"/>
      <c r="K10" s="7"/>
      <c r="L10" s="7"/>
      <c r="M10" s="7"/>
      <c r="N10" s="7"/>
      <c r="O10" s="7"/>
    </row>
    <row r="11" spans="3:15" ht="17.25" x14ac:dyDescent="0.3">
      <c r="C11" s="61"/>
      <c r="D11" s="62"/>
      <c r="E11" s="107" t="s">
        <v>36</v>
      </c>
      <c r="F11" s="108" t="s">
        <v>37</v>
      </c>
      <c r="G11" s="107" t="s">
        <v>36</v>
      </c>
      <c r="H11" s="108" t="s">
        <v>37</v>
      </c>
      <c r="I11" s="7"/>
      <c r="J11" s="7"/>
      <c r="K11" s="7"/>
      <c r="L11" s="7"/>
      <c r="M11" s="7"/>
      <c r="N11" s="7"/>
      <c r="O11" s="7"/>
    </row>
    <row r="12" spans="3:15" ht="17.25" x14ac:dyDescent="0.3">
      <c r="C12" s="129" t="s">
        <v>38</v>
      </c>
      <c r="D12" s="130" t="s">
        <v>3</v>
      </c>
      <c r="E12" s="130">
        <f>COUNTIFS('Falls Data Entry'!$H$6:$H$423,"&lt;&gt;"&amp;" ",'Falls Data Entry'!$J$6:$J$423,"="&amp;"Sun",'Falls Data Entry'!$H$6:$H$423,"&gt;="&amp;DATE(YEAR('Time Location Falls Summary'!$E$7),MONTH('Time Location Falls Summary'!$E$7),1),'Falls Data Entry'!$H$6:$H$423,"&lt;="&amp;EOMONTH(DATE(YEAR('Time Location Falls Summary'!$E$7),MONTH('Time Location Falls Summary'!$E$7),1),0))</f>
        <v>0</v>
      </c>
      <c r="F12" s="130" t="str">
        <f>IFERROR(E12/($E$12+$E$16+$E$20+$E$24+$E$28+$E$32+$E$36)," ")</f>
        <v xml:space="preserve"> </v>
      </c>
      <c r="G12" s="130">
        <f>COUNTIFS('Falls Data Entry'!$H$6:$H$423,"&lt;&gt;"&amp;" ",'Falls Data Entry'!$J$6:$J$423,"="&amp;"Sun",'Falls Data Entry'!$H$6:$H$423,"&gt;="&amp;DATE(YEAR(VALUE('Time Location Falls Summary'!$E$8)),1,1),'Falls Data Entry'!$H$6:$H$423,"&lt;="&amp;DATE(YEAR(VALUE('Time Location Falls Summary'!$E$8)),12,31))</f>
        <v>0</v>
      </c>
      <c r="H12" s="130" t="str">
        <f>IFERROR(G12/($G$12+$G$16+$G$20+$G$24+$G$28+$G$32+$G$36)," ")</f>
        <v xml:space="preserve"> </v>
      </c>
      <c r="I12" s="7"/>
      <c r="J12" s="7"/>
      <c r="K12" s="7"/>
      <c r="L12" s="7"/>
      <c r="M12" s="7"/>
      <c r="N12" s="7"/>
      <c r="O12" s="7"/>
    </row>
    <row r="13" spans="3:15" ht="17.25" x14ac:dyDescent="0.3">
      <c r="C13" s="83"/>
      <c r="D13" s="84" t="str">
        <f>IF(ISNONTEXT('Falls Summary'!$E$5),"",'Falls Summary'!$E$5)</f>
        <v>Unit 1</v>
      </c>
      <c r="E13" s="16">
        <f>COUNTIFS('Falls Data Entry'!$H$6:$H$423,"&lt;&gt;"&amp;" ",'Falls Data Entry'!$J$6:$J$423,"="&amp;"Sun",'Falls Data Entry'!$H$6:$H$423,"&gt;="&amp;DATE(YEAR('Time Location Falls Summary'!$E$7),MONTH('Time Location Falls Summary'!$E$7),1),'Falls Data Entry'!$H$6:$H$423,"&lt;="&amp;EOMONTH(DATE(YEAR('Time Location Falls Summary'!$E$7),MONTH('Time Location Falls Summary'!$E$7),1),0),'Falls Data Entry'!$A$6:$A$423,D13)</f>
        <v>0</v>
      </c>
      <c r="F13" s="95" t="str">
        <f>IFERROR(E13/($E$13+$E$17+$E$21+$E$25+$E$29+$E$33+$E$37)," ")</f>
        <v xml:space="preserve"> </v>
      </c>
      <c r="G13" s="16">
        <f>COUNTIFS('Falls Data Entry'!$H$6:$H$423,"&lt;&gt;"&amp;" ",'Falls Data Entry'!$J$6:$J$423,"="&amp;"Sun",'Falls Data Entry'!$H$6:$H$423,"&gt;="&amp;DATE(YEAR(VALUE('Time Location Falls Summary'!$E$8)),1,1),'Falls Data Entry'!$H$6:$H$423,"&lt;="&amp;DATE(YEAR(VALUE('Time Location Falls Summary'!$E$8)),12,31),'Falls Data Entry'!$A$6:$A$423,D13)</f>
        <v>0</v>
      </c>
      <c r="H13" s="95" t="str">
        <f>IFERROR(G13/($G$13+$G$17+$G$21+$G$25+$G$29+$G$33+$G$37)," ")</f>
        <v xml:space="preserve"> </v>
      </c>
      <c r="I13" s="7"/>
      <c r="J13" s="7"/>
      <c r="K13" s="7"/>
      <c r="L13" s="7"/>
      <c r="M13" s="7"/>
      <c r="N13" s="7"/>
      <c r="O13" s="7"/>
    </row>
    <row r="14" spans="3:15" ht="17.25" x14ac:dyDescent="0.3">
      <c r="C14" s="83"/>
      <c r="D14" s="84" t="str">
        <f>IF(ISNONTEXT('Falls Summary'!$F$5),"",'Falls Summary'!$F$5)</f>
        <v>Unit 2</v>
      </c>
      <c r="E14" s="22">
        <f>COUNTIFS('Falls Data Entry'!$H$6:$H$423,"&lt;&gt;"&amp;" ",'Falls Data Entry'!$J$6:$J$423,"="&amp;"Sun",'Falls Data Entry'!$H$6:$H$423,"&gt;="&amp;DATE(YEAR('Time Location Falls Summary'!$E$7),MONTH('Time Location Falls Summary'!$E$7),1),'Falls Data Entry'!$H$6:$H$423,"&lt;="&amp;EOMONTH(DATE(YEAR('Time Location Falls Summary'!$E$7),MONTH('Time Location Falls Summary'!$E$7),1),0),'Falls Data Entry'!$A$6:$A$423,D14)</f>
        <v>0</v>
      </c>
      <c r="F14" s="82" t="str">
        <f>IFERROR(E14/($E$14+$E$18+$E$22+$E$26+$E$30+$E$34+$E$38)," ")</f>
        <v xml:space="preserve"> </v>
      </c>
      <c r="G14" s="22">
        <f>COUNTIFS('Falls Data Entry'!$H$6:$H$423,"&lt;&gt;"&amp;" ",'Falls Data Entry'!$J$6:$J$423,"="&amp;"Sun",'Falls Data Entry'!$H$6:$H$423,"&gt;="&amp;DATE(YEAR(VALUE('Time Location Falls Summary'!$E$8)),1,1),'Falls Data Entry'!$H$6:$H$423,"&lt;="&amp;DATE(YEAR(VALUE('Time Location Falls Summary'!$E$8)),12,31),'Falls Data Entry'!$A$6:$A$423,D14)</f>
        <v>0</v>
      </c>
      <c r="H14" s="82" t="str">
        <f>IFERROR(G14/($G$14+$G$18+$G$22+$G$26+$G$30+$G$34+$G$38)," ")</f>
        <v xml:space="preserve"> </v>
      </c>
      <c r="I14" s="7"/>
      <c r="J14" s="7"/>
      <c r="K14" s="7"/>
      <c r="L14" s="7"/>
      <c r="M14" s="7"/>
      <c r="N14" s="7"/>
      <c r="O14" s="7"/>
    </row>
    <row r="15" spans="3:15" ht="17.25" x14ac:dyDescent="0.3">
      <c r="C15" s="83"/>
      <c r="D15" s="84" t="str">
        <f>IF(ISNONTEXT('Falls Summary'!$G$5),"",'Falls Summary'!$G$5)</f>
        <v>Unit 3</v>
      </c>
      <c r="E15" s="22">
        <f>COUNTIFS('Falls Data Entry'!$H$6:$H$423,"&lt;&gt;"&amp;" ",'Falls Data Entry'!$J$6:$J$423,"="&amp;"Sun",'Falls Data Entry'!$H$6:$H$423,"&gt;="&amp;DATE(YEAR('Time Location Falls Summary'!$E$7),MONTH('Time Location Falls Summary'!$E$7),1),'Falls Data Entry'!$H$6:$H$423,"&lt;="&amp;EOMONTH(DATE(YEAR('Time Location Falls Summary'!$E$7),MONTH('Time Location Falls Summary'!$E$7),1),0),'Falls Data Entry'!$A$6:$A$423,D15)</f>
        <v>0</v>
      </c>
      <c r="F15" s="82" t="str">
        <f>IFERROR(E15/($E$15+$E$19+$E$23+$E$27+$E$31+$E$35+$E$39)," ")</f>
        <v xml:space="preserve"> </v>
      </c>
      <c r="G15" s="22">
        <f>COUNTIFS('Falls Data Entry'!$H$6:$H$423,"&lt;&gt;"&amp;" ",'Falls Data Entry'!$J$6:$J$423,"="&amp;"Sun",'Falls Data Entry'!$H$6:$H$423,"&gt;="&amp;DATE(YEAR(VALUE('Time Location Falls Summary'!$E$8)),1,1),'Falls Data Entry'!$H$6:$H$423,"&lt;="&amp;DATE(YEAR(VALUE('Time Location Falls Summary'!$E$8)),12,31),'Falls Data Entry'!$A$6:$A$423,D15)</f>
        <v>0</v>
      </c>
      <c r="H15" s="82" t="str">
        <f>IFERROR(G15/($G$15+$G$19+$G$23+$G$27+$G$31+$G$35+$G$39)," ")</f>
        <v xml:space="preserve"> </v>
      </c>
      <c r="I15" s="7"/>
      <c r="J15" s="7"/>
      <c r="K15" s="7"/>
      <c r="L15" s="7"/>
      <c r="M15" s="7"/>
      <c r="N15" s="7"/>
      <c r="O15" s="7"/>
    </row>
    <row r="16" spans="3:15" ht="17.25" x14ac:dyDescent="0.3">
      <c r="C16" s="129" t="s">
        <v>39</v>
      </c>
      <c r="D16" s="131" t="s">
        <v>3</v>
      </c>
      <c r="E16" s="131">
        <f>COUNTIFS('Falls Data Entry'!$H$6:$H$423,"&lt;&gt;"&amp;" ",'Falls Data Entry'!$J$6:$J$423,"="&amp;"Mon",'Falls Data Entry'!$H$6:$H$423,"&gt;="&amp;DATE(YEAR('Time Location Falls Summary'!$E$7),MONTH('Time Location Falls Summary'!$E$7),1),'Falls Data Entry'!$H$6:$H$423,"&lt;="&amp;EOMONTH(DATE(YEAR('Time Location Falls Summary'!$E$7),MONTH('Time Location Falls Summary'!$E$7),1),0))</f>
        <v>0</v>
      </c>
      <c r="F16" s="131" t="str">
        <f>IFERROR(E16/($E$12+$E$16+$E$20+$E$24+$E$28+$E$32+$E$36)," ")</f>
        <v xml:space="preserve"> </v>
      </c>
      <c r="G16" s="131">
        <f>COUNTIFS('Falls Data Entry'!$H$6:$H$423,"&lt;&gt;"&amp;" ",'Falls Data Entry'!$J$6:$J$423,"="&amp;"Mon",'Falls Data Entry'!$H$6:$H$423,"&gt;="&amp;DATE(YEAR(VALUE('Time Location Falls Summary'!$E$8)),1,1),'Falls Data Entry'!$H$6:$H$423,"&lt;="&amp;DATE(YEAR(VALUE('Time Location Falls Summary'!$E$8)),12,31))</f>
        <v>0</v>
      </c>
      <c r="H16" s="131" t="str">
        <f>IFERROR(G16/($G$12+$G$16+$G$20+$G$24+$G$28+$G$32+$G$36)," ")</f>
        <v xml:space="preserve"> </v>
      </c>
      <c r="I16" s="7"/>
      <c r="J16" s="7"/>
      <c r="K16" s="7"/>
      <c r="L16" s="7"/>
      <c r="M16" s="7"/>
      <c r="N16" s="7"/>
      <c r="O16" s="7"/>
    </row>
    <row r="17" spans="3:8" ht="17.25" x14ac:dyDescent="0.3">
      <c r="C17" s="83"/>
      <c r="D17" s="84" t="str">
        <f>IF(ISNONTEXT('Falls Summary'!$E$5),"",'Falls Summary'!$E$5)</f>
        <v>Unit 1</v>
      </c>
      <c r="E17" s="22">
        <f>COUNTIFS('Falls Data Entry'!$H$6:$H$423,"&lt;&gt;"&amp;" ",'Falls Data Entry'!$J$6:$J$423,"="&amp;"Mon",'Falls Data Entry'!$H$6:$H$423,"&gt;="&amp;DATE(YEAR('Time Location Falls Summary'!$E$7),MONTH('Time Location Falls Summary'!$E$7),1),'Falls Data Entry'!$H$6:$H$423,"&lt;="&amp;EOMONTH(DATE(YEAR('Time Location Falls Summary'!$E$7),MONTH('Time Location Falls Summary'!$E$7),1),0),'Falls Data Entry'!$A$6:$A$423,D17)</f>
        <v>0</v>
      </c>
      <c r="F17" s="82" t="str">
        <f>IFERROR(E17/($E$13+$E$17+$E$21+$E$25+$E$29+$E$33+$E$37)," ")</f>
        <v xml:space="preserve"> </v>
      </c>
      <c r="G17" s="22">
        <f>COUNTIFS('Falls Data Entry'!$H$6:$H$423,"&lt;&gt;"&amp;" ",'Falls Data Entry'!$J$6:$J$423,"="&amp;"Mon",'Falls Data Entry'!$H$6:$H$423,"&gt;="&amp;DATE(YEAR(VALUE('Time Location Falls Summary'!$E$8)),1,1),'Falls Data Entry'!$H$6:$H$423,"&lt;="&amp;DATE(YEAR(VALUE('Time Location Falls Summary'!$E$8)),12,31),'Falls Data Entry'!$A$6:$A$423,D17)</f>
        <v>0</v>
      </c>
      <c r="H17" s="95" t="str">
        <f>IFERROR(G17/($G$13+$G$17+$G$21+$G$25+$G$29+$G$33+$G$37)," ")</f>
        <v xml:space="preserve"> </v>
      </c>
    </row>
    <row r="18" spans="3:8" ht="17.25" x14ac:dyDescent="0.3">
      <c r="C18" s="83"/>
      <c r="D18" s="84" t="str">
        <f>IF(ISNONTEXT('Falls Summary'!$F$5),"",'Falls Summary'!$F$5)</f>
        <v>Unit 2</v>
      </c>
      <c r="E18" s="22">
        <f>COUNTIFS('Falls Data Entry'!$H$6:$H$423,"&lt;&gt;"&amp;" ",'Falls Data Entry'!$J$6:$J$423,"="&amp;"Mon",'Falls Data Entry'!$H$6:$H$423,"&gt;="&amp;DATE(YEAR('Time Location Falls Summary'!$E$7),MONTH('Time Location Falls Summary'!$E$7),1),'Falls Data Entry'!$H$6:$H$423,"&lt;="&amp;EOMONTH(DATE(YEAR('Time Location Falls Summary'!$E$7),MONTH('Time Location Falls Summary'!$E$7),1),0),'Falls Data Entry'!$A$6:$A$423,D18)</f>
        <v>0</v>
      </c>
      <c r="F18" s="82" t="str">
        <f>IFERROR(E18/($E$14+$E$18+$E$22+$E$26+$E$30+$E$34+$E$38)," ")</f>
        <v xml:space="preserve"> </v>
      </c>
      <c r="G18" s="22">
        <f>COUNTIFS('Falls Data Entry'!$H$6:$H$423,"&lt;&gt;"&amp;" ",'Falls Data Entry'!$J$6:$J$423,"="&amp;"Mon",'Falls Data Entry'!$H$6:$H$423,"&gt;="&amp;DATE(YEAR(VALUE('Time Location Falls Summary'!$E$8)),1,1),'Falls Data Entry'!$H$6:$H$423,"&lt;="&amp;DATE(YEAR(VALUE('Time Location Falls Summary'!$E$8)),12,31),'Falls Data Entry'!$A$6:$A$423,D18)</f>
        <v>0</v>
      </c>
      <c r="H18" s="82" t="str">
        <f>IFERROR(G18/($G$14+$G$18+$G$22+$G$26+$G$30+$G$34+$G$38)," ")</f>
        <v xml:space="preserve"> </v>
      </c>
    </row>
    <row r="19" spans="3:8" ht="17.25" x14ac:dyDescent="0.3">
      <c r="C19" s="83"/>
      <c r="D19" s="84" t="str">
        <f>IF(ISNONTEXT('Falls Summary'!$G$5),"",'Falls Summary'!$G$5)</f>
        <v>Unit 3</v>
      </c>
      <c r="E19" s="22">
        <f>COUNTIFS('Falls Data Entry'!$H$6:$H$423,"&lt;&gt;"&amp;" ",'Falls Data Entry'!$J$6:$J$423,"="&amp;"Mon",'Falls Data Entry'!$H$6:$H$423,"&gt;="&amp;DATE(YEAR('Time Location Falls Summary'!$E$7),MONTH('Time Location Falls Summary'!$E$7),1),'Falls Data Entry'!$H$6:$H$423,"&lt;="&amp;EOMONTH(DATE(YEAR('Time Location Falls Summary'!$E$7),MONTH('Time Location Falls Summary'!$E$7),1),0),'Falls Data Entry'!$A$6:$A$423,D19)</f>
        <v>0</v>
      </c>
      <c r="F19" s="82" t="str">
        <f>IFERROR(E19/($E$15+$E$19+$E$23+$E$27+$E$31+$E$35+$E$39)," ")</f>
        <v xml:space="preserve"> </v>
      </c>
      <c r="G19" s="22">
        <f>COUNTIFS('Falls Data Entry'!$H$6:$H$423,"&lt;&gt;"&amp;" ",'Falls Data Entry'!$J$6:$J$423,"="&amp;"Mon",'Falls Data Entry'!$H$6:$H$423,"&gt;="&amp;DATE(YEAR(VALUE('Time Location Falls Summary'!$E$8)),1,1),'Falls Data Entry'!$H$6:$H$423,"&lt;="&amp;DATE(YEAR(VALUE('Time Location Falls Summary'!$E$8)),12,31),'Falls Data Entry'!$A$6:$A$423,D19)</f>
        <v>0</v>
      </c>
      <c r="H19" s="82" t="str">
        <f>IFERROR(G19/($G$15+$G$19+$G$23+$G$27+$G$31+$G$35+$G$39)," ")</f>
        <v xml:space="preserve"> </v>
      </c>
    </row>
    <row r="20" spans="3:8" ht="17.25" x14ac:dyDescent="0.3">
      <c r="C20" s="129" t="s">
        <v>40</v>
      </c>
      <c r="D20" s="131" t="s">
        <v>3</v>
      </c>
      <c r="E20" s="131">
        <f>COUNTIFS('Falls Data Entry'!$H$6:$H$423,"&lt;&gt;"&amp;" ",'Falls Data Entry'!$J$6:$J$423,"="&amp;"Tue",'Falls Data Entry'!$H$6:$H$423,"&gt;="&amp;DATE(YEAR('Time Location Falls Summary'!$E$7),MONTH('Time Location Falls Summary'!$E$7),1),'Falls Data Entry'!$H$6:$H$423,"&lt;="&amp;EOMONTH(DATE(YEAR('Time Location Falls Summary'!$E$7),MONTH('Time Location Falls Summary'!$E$7),1),0))</f>
        <v>0</v>
      </c>
      <c r="F20" s="131" t="str">
        <f>IFERROR(E20/($E$12+$E$16+$E$20+$E$24+$E$28+$E$32+$E$36)," ")</f>
        <v xml:space="preserve"> </v>
      </c>
      <c r="G20" s="131">
        <f>COUNTIFS('Falls Data Entry'!$H$6:$H$423,"&lt;&gt;"&amp;" ",'Falls Data Entry'!$J$6:$J$423,"="&amp;"Tue",'Falls Data Entry'!$H$6:$H$423,"&gt;="&amp;DATE(YEAR(VALUE('Time Location Falls Summary'!$E$8)),1,1),'Falls Data Entry'!$H$6:$H$423,"&lt;="&amp;DATE(YEAR(VALUE('Time Location Falls Summary'!$E$8)),12,31))</f>
        <v>0</v>
      </c>
      <c r="H20" s="131" t="str">
        <f>IFERROR(G20/($G$12+$G$16+$G$20+$G$24+$G$28+$G$32+$G$36)," ")</f>
        <v xml:space="preserve"> </v>
      </c>
    </row>
    <row r="21" spans="3:8" ht="17.25" x14ac:dyDescent="0.3">
      <c r="C21" s="83"/>
      <c r="D21" s="84" t="str">
        <f>IF(ISNONTEXT('Falls Summary'!$E$5),"",'Falls Summary'!$E$5)</f>
        <v>Unit 1</v>
      </c>
      <c r="E21" s="22">
        <f>COUNTIFS('Falls Data Entry'!$H$6:$H$423,"&lt;&gt;"&amp;" ",'Falls Data Entry'!$J$6:$J$423,"="&amp;"Tue",'Falls Data Entry'!$H$6:$H$423,"&gt;="&amp;DATE(YEAR('Time Location Falls Summary'!$E$7),MONTH('Time Location Falls Summary'!$E$7),1),'Falls Data Entry'!$H$6:$H$423,"&lt;="&amp;EOMONTH(DATE(YEAR('Time Location Falls Summary'!$E$7),MONTH('Time Location Falls Summary'!$E$7),1),0),'Falls Data Entry'!$A$6:$A$423,D21)</f>
        <v>0</v>
      </c>
      <c r="F21" s="82" t="str">
        <f>IFERROR(E21/($E$13+$E$17+$E$21+$E$25+$E$29+$E$33+$E$37)," ")</f>
        <v xml:space="preserve"> </v>
      </c>
      <c r="G21" s="22">
        <f>COUNTIFS('Falls Data Entry'!$H$6:$H$423,"&lt;&gt;"&amp;" ",'Falls Data Entry'!$J$6:$J$423,"="&amp;"Tue",'Falls Data Entry'!$H$6:$H$423,"&gt;="&amp;DATE(YEAR(VALUE('Time Location Falls Summary'!$E$8)),1,1),'Falls Data Entry'!$H$6:$H$423,"&lt;="&amp;DATE(YEAR(VALUE('Time Location Falls Summary'!$E$8)),12,31),'Falls Data Entry'!$A$6:$A$423,D21)</f>
        <v>0</v>
      </c>
      <c r="H21" s="95" t="str">
        <f>IFERROR(G21/($G$13+$G$17+$G$21+$G$25+$G$29+$G$33+$G$37)," ")</f>
        <v xml:space="preserve"> </v>
      </c>
    </row>
    <row r="22" spans="3:8" ht="17.25" x14ac:dyDescent="0.3">
      <c r="C22" s="83"/>
      <c r="D22" s="84" t="str">
        <f>IF(ISNONTEXT('Falls Summary'!$F$5),"",'Falls Summary'!$F$5)</f>
        <v>Unit 2</v>
      </c>
      <c r="E22" s="22">
        <f>COUNTIFS('Falls Data Entry'!$H$6:$H$423,"&lt;&gt;"&amp;" ",'Falls Data Entry'!$J$6:$J$423,"="&amp;"Tue",'Falls Data Entry'!$H$6:$H$423,"&gt;="&amp;DATE(YEAR('Time Location Falls Summary'!$E$7),MONTH('Time Location Falls Summary'!$E$7),1),'Falls Data Entry'!$H$6:$H$423,"&lt;="&amp;EOMONTH(DATE(YEAR('Time Location Falls Summary'!$E$7),MONTH('Time Location Falls Summary'!$E$7),1),0),'Falls Data Entry'!$A$6:$A$423,D22)</f>
        <v>0</v>
      </c>
      <c r="F22" s="82" t="str">
        <f>IFERROR(E22/($E$14+$E$18+$E$22+$E$26+$E$30+$E$34+$E$38)," ")</f>
        <v xml:space="preserve"> </v>
      </c>
      <c r="G22" s="22">
        <f>COUNTIFS('Falls Data Entry'!$H$6:$H$423,"&lt;&gt;"&amp;" ",'Falls Data Entry'!$J$6:$J$423,"="&amp;"Tue",'Falls Data Entry'!$H$6:$H$423,"&gt;="&amp;DATE(YEAR(VALUE('Time Location Falls Summary'!$E$8)),1,1),'Falls Data Entry'!$H$6:$H$423,"&lt;="&amp;DATE(YEAR(VALUE('Time Location Falls Summary'!$E$8)),12,31),'Falls Data Entry'!$A$6:$A$423,D22)</f>
        <v>0</v>
      </c>
      <c r="H22" s="82" t="str">
        <f>IFERROR(G22/($G$14+$G$18+$G$22+$G$26+$G$30+$G$34+$G$38)," ")</f>
        <v xml:space="preserve"> </v>
      </c>
    </row>
    <row r="23" spans="3:8" ht="17.25" x14ac:dyDescent="0.3">
      <c r="C23" s="83"/>
      <c r="D23" s="84" t="str">
        <f>IF(ISNONTEXT('Falls Summary'!$G$5),"",'Falls Summary'!$G$5)</f>
        <v>Unit 3</v>
      </c>
      <c r="E23" s="22">
        <f>COUNTIFS('Falls Data Entry'!$H$6:$H$423,"&lt;&gt;"&amp;" ",'Falls Data Entry'!$J$6:$J$423,"="&amp;"Tue",'Falls Data Entry'!$H$6:$H$423,"&gt;="&amp;DATE(YEAR('Time Location Falls Summary'!$E$7),MONTH('Time Location Falls Summary'!$E$7),1),'Falls Data Entry'!$H$6:$H$423,"&lt;="&amp;EOMONTH(DATE(YEAR('Time Location Falls Summary'!$E$7),MONTH('Time Location Falls Summary'!$E$7),1),0),'Falls Data Entry'!$A$6:$A$423,D23)</f>
        <v>0</v>
      </c>
      <c r="F23" s="82" t="str">
        <f>IFERROR(E23/($E$15+$E$19+$E$23+$E$27+$E$31+$E$35+$E$39)," ")</f>
        <v xml:space="preserve"> </v>
      </c>
      <c r="G23" s="22">
        <f>COUNTIFS('Falls Data Entry'!$H$6:$H$423,"&lt;&gt;"&amp;" ",'Falls Data Entry'!$J$6:$J$423,"="&amp;"Tue",'Falls Data Entry'!$H$6:$H$423,"&gt;="&amp;DATE(YEAR(VALUE('Time Location Falls Summary'!$E$8)),1,1),'Falls Data Entry'!$H$6:$H$423,"&lt;="&amp;DATE(YEAR(VALUE('Time Location Falls Summary'!$E$8)),12,31),'Falls Data Entry'!$A$6:$A$423,D23)</f>
        <v>0</v>
      </c>
      <c r="H23" s="82" t="str">
        <f>IFERROR(G23/($G$15+$G$19+$G$23+$G$27+$G$31+$G$35+$G$39)," ")</f>
        <v xml:space="preserve"> </v>
      </c>
    </row>
    <row r="24" spans="3:8" ht="17.25" x14ac:dyDescent="0.3">
      <c r="C24" s="129" t="s">
        <v>41</v>
      </c>
      <c r="D24" s="131" t="s">
        <v>3</v>
      </c>
      <c r="E24" s="131">
        <f>COUNTIFS('Falls Data Entry'!$H$6:$H$423,"&lt;&gt;"&amp;" ",'Falls Data Entry'!$J$6:$J$423,"="&amp;"Wed",'Falls Data Entry'!$H$6:$H$423,"&gt;="&amp;DATE(YEAR('Time Location Falls Summary'!$E$7),MONTH('Time Location Falls Summary'!$E$7),1),'Falls Data Entry'!$H$6:$H$423,"&lt;="&amp;EOMONTH(DATE(YEAR('Time Location Falls Summary'!$E$7),MONTH('Time Location Falls Summary'!$E$7),1),0))</f>
        <v>0</v>
      </c>
      <c r="F24" s="131" t="str">
        <f>IFERROR(E24/($E$12+$E$16+$E$20+$E$24+$E$28+$E$32+$E$36)," ")</f>
        <v xml:space="preserve"> </v>
      </c>
      <c r="G24" s="131">
        <f>COUNTIFS('Falls Data Entry'!$H$6:$H$423,"&lt;&gt;"&amp;" ",'Falls Data Entry'!$J$6:$J$423,"="&amp;"Wed",'Falls Data Entry'!$H$6:$H$423,"&gt;="&amp;DATE(YEAR(VALUE('Time Location Falls Summary'!$E$8)),1,1),'Falls Data Entry'!$H$6:$H$423,"&lt;="&amp;DATE(YEAR(VALUE('Time Location Falls Summary'!$E$8)),12,31))</f>
        <v>0</v>
      </c>
      <c r="H24" s="131" t="str">
        <f>IFERROR(G24/($G$12+$G$16+$G$20+$G$24+$G$28+$G$32+$G$36)," ")</f>
        <v xml:space="preserve"> </v>
      </c>
    </row>
    <row r="25" spans="3:8" ht="17.25" x14ac:dyDescent="0.3">
      <c r="C25" s="87"/>
      <c r="D25" s="84" t="str">
        <f>IF(ISNONTEXT('Falls Summary'!$E$5),"",'Falls Summary'!$E$5)</f>
        <v>Unit 1</v>
      </c>
      <c r="E25" s="22">
        <f>COUNTIFS('Falls Data Entry'!$H$6:$H$423,"&lt;&gt;"&amp;" ",'Falls Data Entry'!$J$6:$J$423,"="&amp;"Wed",'Falls Data Entry'!$H$6:$H$423,"&gt;="&amp;DATE(YEAR('Time Location Falls Summary'!$E$7),MONTH('Time Location Falls Summary'!$E$7),1),'Falls Data Entry'!$H$6:$H$423,"&lt;="&amp;EOMONTH(DATE(YEAR('Time Location Falls Summary'!$E$7),MONTH('Time Location Falls Summary'!$E$7),1),0),'Falls Data Entry'!$A$6:$A$423,D25)</f>
        <v>0</v>
      </c>
      <c r="F25" s="82" t="str">
        <f>IFERROR(E25/($E$13+$E$17+$E$21+$E$25+$E$29+$E$33+$E$37)," ")</f>
        <v xml:space="preserve"> </v>
      </c>
      <c r="G25" s="22">
        <f>COUNTIFS('Falls Data Entry'!$H$6:$H$423,"&lt;&gt;"&amp;" ",'Falls Data Entry'!$J$6:$J$423,"="&amp;"Wed",'Falls Data Entry'!$H$6:$H$423,"&gt;="&amp;DATE(YEAR(VALUE('Time Location Falls Summary'!$E$8)),1,1),'Falls Data Entry'!$H$6:$H$423,"&lt;="&amp;DATE(YEAR(VALUE('Time Location Falls Summary'!$E$8)),12,31),'Falls Data Entry'!$A$6:$A$423,D25)</f>
        <v>0</v>
      </c>
      <c r="H25" s="95" t="str">
        <f>IFERROR(G25/($G$13+$G$17+$G$21+$G$25+$G$29+$G$33+$G$37)," ")</f>
        <v xml:space="preserve"> </v>
      </c>
    </row>
    <row r="26" spans="3:8" ht="17.25" x14ac:dyDescent="0.3">
      <c r="C26" s="87"/>
      <c r="D26" s="84" t="str">
        <f>IF(ISNONTEXT('Falls Summary'!$F$5),"",'Falls Summary'!$F$5)</f>
        <v>Unit 2</v>
      </c>
      <c r="E26" s="22">
        <f>COUNTIFS('Falls Data Entry'!$H$6:$H$423,"&lt;&gt;"&amp;" ",'Falls Data Entry'!$J$6:$J$423,"="&amp;"Wed",'Falls Data Entry'!$H$6:$H$423,"&gt;="&amp;DATE(YEAR('Time Location Falls Summary'!$E$7),MONTH('Time Location Falls Summary'!$E$7),1),'Falls Data Entry'!$H$6:$H$423,"&lt;="&amp;EOMONTH(DATE(YEAR('Time Location Falls Summary'!$E$7),MONTH('Time Location Falls Summary'!$E$7),1),0),'Falls Data Entry'!$A$6:$A$423,D26)</f>
        <v>0</v>
      </c>
      <c r="F26" s="82" t="str">
        <f>IFERROR(E26/($E$14+$E$18+$E$22+$E$26+$E$30+$E$34+$E$38)," ")</f>
        <v xml:space="preserve"> </v>
      </c>
      <c r="G26" s="22">
        <f>COUNTIFS('Falls Data Entry'!$H$6:$H$423,"&lt;&gt;"&amp;" ",'Falls Data Entry'!$J$6:$J$423,"="&amp;"Wed",'Falls Data Entry'!$H$6:$H$423,"&gt;="&amp;DATE(YEAR(VALUE('Time Location Falls Summary'!$E$8)),1,1),'Falls Data Entry'!$H$6:$H$423,"&lt;="&amp;DATE(YEAR(VALUE('Time Location Falls Summary'!$E$8)),12,31),'Falls Data Entry'!$A$6:$A$423,D26)</f>
        <v>0</v>
      </c>
      <c r="H26" s="82" t="str">
        <f>IFERROR(G26/($G$14+$G$18+$G$22+$G$26+$G$30+$G$34+$G$38)," ")</f>
        <v xml:space="preserve"> </v>
      </c>
    </row>
    <row r="27" spans="3:8" ht="17.25" x14ac:dyDescent="0.3">
      <c r="C27" s="87"/>
      <c r="D27" s="84" t="str">
        <f>IF(ISNONTEXT('Falls Summary'!$G$5),"",'Falls Summary'!$G$5)</f>
        <v>Unit 3</v>
      </c>
      <c r="E27" s="22">
        <f>COUNTIFS('Falls Data Entry'!$H$6:$H$423,"&lt;&gt;"&amp;" ",'Falls Data Entry'!$J$6:$J$423,"="&amp;"Wed",'Falls Data Entry'!$H$6:$H$423,"&gt;="&amp;DATE(YEAR('Time Location Falls Summary'!$E$7),MONTH('Time Location Falls Summary'!$E$7),1),'Falls Data Entry'!$H$6:$H$423,"&lt;="&amp;EOMONTH(DATE(YEAR('Time Location Falls Summary'!$E$7),MONTH('Time Location Falls Summary'!$E$7),1),0),'Falls Data Entry'!$A$6:$A$423,D27)</f>
        <v>0</v>
      </c>
      <c r="F27" s="82" t="str">
        <f>IFERROR(E27/($E$15+$E$19+$E$23+$E$27+$E$31+$E$35+$E$39)," ")</f>
        <v xml:space="preserve"> </v>
      </c>
      <c r="G27" s="22">
        <f>COUNTIFS('Falls Data Entry'!$H$6:$H$423,"&lt;&gt;"&amp;" ",'Falls Data Entry'!$J$6:$J$423,"="&amp;"Wed",'Falls Data Entry'!$H$6:$H$423,"&gt;="&amp;DATE(YEAR(VALUE('Time Location Falls Summary'!$E$8)),1,1),'Falls Data Entry'!$H$6:$H$423,"&lt;="&amp;DATE(YEAR(VALUE('Time Location Falls Summary'!$E$8)),12,31),'Falls Data Entry'!$A$6:$A$423,D27)</f>
        <v>0</v>
      </c>
      <c r="H27" s="82" t="str">
        <f>IFERROR(G27/($G$15+$G$19+$G$23+$G$27+$G$31+$G$35+$G$39)," ")</f>
        <v xml:space="preserve"> </v>
      </c>
    </row>
    <row r="28" spans="3:8" ht="17.25" x14ac:dyDescent="0.3">
      <c r="C28" s="129" t="s">
        <v>42</v>
      </c>
      <c r="D28" s="131" t="s">
        <v>3</v>
      </c>
      <c r="E28" s="131">
        <f>COUNTIFS('Falls Data Entry'!$H$6:$H$423,"&lt;&gt;"&amp;" ",'Falls Data Entry'!$J$6:$J$423,"="&amp;"Thu",'Falls Data Entry'!$H$6:$H$423,"&gt;="&amp;DATE(YEAR('Time Location Falls Summary'!$E$7),MONTH('Time Location Falls Summary'!$E$7),1),'Falls Data Entry'!$H$6:$H$423,"&lt;="&amp;EOMONTH(DATE(YEAR('Time Location Falls Summary'!$E$7),MONTH('Time Location Falls Summary'!$E$7),1),0))</f>
        <v>0</v>
      </c>
      <c r="F28" s="131" t="str">
        <f>IFERROR(E28/($E$12+$E$16+$E$20+$E$24+$E$28+$E$32+$E$36)," ")</f>
        <v xml:space="preserve"> </v>
      </c>
      <c r="G28" s="131">
        <f>COUNTIFS('Falls Data Entry'!$H$6:$H$423,"&lt;&gt;"&amp;" ",'Falls Data Entry'!$J$6:$J$423,"="&amp;"Thu",'Falls Data Entry'!$H$6:$H$423,"&gt;="&amp;DATE(YEAR(VALUE('Time Location Falls Summary'!$E$8)),1,1),'Falls Data Entry'!$H$6:$H$423,"&lt;="&amp;DATE(YEAR(VALUE('Time Location Falls Summary'!$E$8)),12,31))</f>
        <v>0</v>
      </c>
      <c r="H28" s="131" t="str">
        <f>IFERROR(G28/($G$12+$G$16+$G$20+$G$24+$G$28+$G$32+$G$36)," ")</f>
        <v xml:space="preserve"> </v>
      </c>
    </row>
    <row r="29" spans="3:8" ht="17.25" x14ac:dyDescent="0.3">
      <c r="C29" s="83"/>
      <c r="D29" s="84" t="str">
        <f>IF(ISNONTEXT('Falls Summary'!$E$5),"",'Falls Summary'!$E$5)</f>
        <v>Unit 1</v>
      </c>
      <c r="E29" s="22">
        <f>COUNTIFS('Falls Data Entry'!$H$6:$H$423,"&lt;&gt;"&amp;" ",'Falls Data Entry'!$J$6:$J$423,"="&amp;"Thu",'Falls Data Entry'!$H$6:$H$423,"&gt;="&amp;DATE(YEAR('Time Location Falls Summary'!$E$7),MONTH('Time Location Falls Summary'!$E$7),1),'Falls Data Entry'!$H$6:$H$423,"&lt;="&amp;EOMONTH(DATE(YEAR('Time Location Falls Summary'!$E$7),MONTH('Time Location Falls Summary'!$E$7),1),0),'Falls Data Entry'!$A$6:$A$423,D29)</f>
        <v>0</v>
      </c>
      <c r="F29" s="82" t="str">
        <f>IFERROR(E29/($E$13+$E$17+$E$21+$E$25+$E$29+$E$33+$E$37)," ")</f>
        <v xml:space="preserve"> </v>
      </c>
      <c r="G29" s="22">
        <f>COUNTIFS('Falls Data Entry'!$H$6:$H$423,"&lt;&gt;"&amp;" ",'Falls Data Entry'!$J$6:$J$423,"="&amp;"Thu",'Falls Data Entry'!$H$6:$H$423,"&gt;="&amp;DATE(YEAR(VALUE('Time Location Falls Summary'!$E$8)),1,1),'Falls Data Entry'!$H$6:$H$423,"&lt;="&amp;DATE(YEAR(VALUE('Time Location Falls Summary'!$E$8)),12,31),'Falls Data Entry'!$A$6:$A$423,D29)</f>
        <v>0</v>
      </c>
      <c r="H29" s="95" t="str">
        <f>IFERROR(G29/($G$13+$G$17+$G$21+$G$25+$G$29+$G$33+$G$37)," ")</f>
        <v xml:space="preserve"> </v>
      </c>
    </row>
    <row r="30" spans="3:8" ht="17.25" x14ac:dyDescent="0.3">
      <c r="C30" s="83"/>
      <c r="D30" s="84" t="str">
        <f>IF(ISNONTEXT('Falls Summary'!$F$5),"",'Falls Summary'!$F$5)</f>
        <v>Unit 2</v>
      </c>
      <c r="E30" s="22">
        <f>COUNTIFS('Falls Data Entry'!$H$6:$H$423,"&lt;&gt;"&amp;" ",'Falls Data Entry'!$J$6:$J$423,"="&amp;"Thu",'Falls Data Entry'!$H$6:$H$423,"&gt;="&amp;DATE(YEAR('Time Location Falls Summary'!$E$7),MONTH('Time Location Falls Summary'!$E$7),1),'Falls Data Entry'!$H$6:$H$423,"&lt;="&amp;EOMONTH(DATE(YEAR('Time Location Falls Summary'!$E$7),MONTH('Time Location Falls Summary'!$E$7),1),0),'Falls Data Entry'!$A$6:$A$423,D30)</f>
        <v>0</v>
      </c>
      <c r="F30" s="82" t="str">
        <f>IFERROR(E30/($E$14+$E$18+$E$22+$E$26+$E$30+$E$34+$E$38)," ")</f>
        <v xml:space="preserve"> </v>
      </c>
      <c r="G30" s="22">
        <f>COUNTIFS('Falls Data Entry'!$H$6:$H$423,"&lt;&gt;"&amp;" ",'Falls Data Entry'!$J$6:$J$423,"="&amp;"Thu",'Falls Data Entry'!$H$6:$H$423,"&gt;="&amp;DATE(YEAR(VALUE('Time Location Falls Summary'!$E$8)),1,1),'Falls Data Entry'!$H$6:$H$423,"&lt;="&amp;DATE(YEAR(VALUE('Time Location Falls Summary'!$E$8)),12,31),'Falls Data Entry'!$A$6:$A$423,D30)</f>
        <v>0</v>
      </c>
      <c r="H30" s="82" t="str">
        <f>IFERROR(G30/($G$14+$G$18+$G$22+$G$26+$G$30+$G$34+$G$38)," ")</f>
        <v xml:space="preserve"> </v>
      </c>
    </row>
    <row r="31" spans="3:8" ht="17.25" x14ac:dyDescent="0.3">
      <c r="C31" s="83"/>
      <c r="D31" s="84" t="str">
        <f>IF(ISNONTEXT('Falls Summary'!$G$5),"",'Falls Summary'!$G$5)</f>
        <v>Unit 3</v>
      </c>
      <c r="E31" s="22">
        <f>COUNTIFS('Falls Data Entry'!$H$6:$H$423,"&lt;&gt;"&amp;" ",'Falls Data Entry'!$J$6:$J$423,"="&amp;"Thu",'Falls Data Entry'!$H$6:$H$423,"&gt;="&amp;DATE(YEAR('Time Location Falls Summary'!$E$7),MONTH('Time Location Falls Summary'!$E$7),1),'Falls Data Entry'!$H$6:$H$423,"&lt;="&amp;EOMONTH(DATE(YEAR('Time Location Falls Summary'!$E$7),MONTH('Time Location Falls Summary'!$E$7),1),0),'Falls Data Entry'!$A$6:$A$423,D31)</f>
        <v>0</v>
      </c>
      <c r="F31" s="82" t="str">
        <f>IFERROR(E31/($E$15+$E$19+$E$23+$E$27+$E$31+$E$35+$E$39)," ")</f>
        <v xml:space="preserve"> </v>
      </c>
      <c r="G31" s="22">
        <f>COUNTIFS('Falls Data Entry'!$H$6:$H$423,"&lt;&gt;"&amp;" ",'Falls Data Entry'!$J$6:$J$423,"="&amp;"Thu",'Falls Data Entry'!$H$6:$H$423,"&gt;="&amp;DATE(YEAR(VALUE('Time Location Falls Summary'!$E$8)),1,1),'Falls Data Entry'!$H$6:$H$423,"&lt;="&amp;DATE(YEAR(VALUE('Time Location Falls Summary'!$E$8)),12,31),'Falls Data Entry'!$A$6:$A$423,D31)</f>
        <v>0</v>
      </c>
      <c r="H31" s="82" t="str">
        <f>IFERROR(G31/($G$15+$G$19+$G$23+$G$27+$G$31+$G$35+$G$39)," ")</f>
        <v xml:space="preserve"> </v>
      </c>
    </row>
    <row r="32" spans="3:8" ht="17.25" x14ac:dyDescent="0.3">
      <c r="C32" s="129" t="s">
        <v>43</v>
      </c>
      <c r="D32" s="131" t="s">
        <v>3</v>
      </c>
      <c r="E32" s="131">
        <f>COUNTIFS('Falls Data Entry'!$H$6:$H$423,"&lt;&gt;"&amp;" ",'Falls Data Entry'!$J$6:$J$423,"="&amp;"Fri",'Falls Data Entry'!$H$6:$H$423,"&gt;="&amp;DATE(YEAR('Time Location Falls Summary'!$E$7),MONTH('Time Location Falls Summary'!$E$7),1),'Falls Data Entry'!$H$6:$H$423,"&lt;="&amp;EOMONTH(DATE(YEAR('Time Location Falls Summary'!$E$7),MONTH('Time Location Falls Summary'!$E$7),1),0))</f>
        <v>0</v>
      </c>
      <c r="F32" s="131" t="str">
        <f>IFERROR(E32/($E$12+$E$16+$E$20+$E$24+$E$28+$E$32+$E$36)," ")</f>
        <v xml:space="preserve"> </v>
      </c>
      <c r="G32" s="131">
        <f>COUNTIFS('Falls Data Entry'!$H$6:$H$423,"&lt;&gt;"&amp;" ",'Falls Data Entry'!$J$6:$J$423,"="&amp;"Fri",'Falls Data Entry'!$H$6:$H$423,"&gt;="&amp;DATE(YEAR(VALUE('Time Location Falls Summary'!$E$8)),1,1),'Falls Data Entry'!$H$6:$H$423,"&lt;="&amp;DATE(YEAR(VALUE('Time Location Falls Summary'!$E$8)),12,31))</f>
        <v>0</v>
      </c>
      <c r="H32" s="131" t="str">
        <f>IFERROR(G32/($G$12+$G$16+$G$20+$G$24+$G$28+$G$32+$G$36)," ")</f>
        <v xml:space="preserve"> </v>
      </c>
    </row>
    <row r="33" spans="3:8" ht="17.25" x14ac:dyDescent="0.3">
      <c r="C33" s="83"/>
      <c r="D33" s="84" t="str">
        <f>IF(ISNONTEXT('Falls Summary'!$E$5),"",'Falls Summary'!$E$5)</f>
        <v>Unit 1</v>
      </c>
      <c r="E33" s="22">
        <f>COUNTIFS('Falls Data Entry'!$H$6:$H$423,"&lt;&gt;"&amp;" ",'Falls Data Entry'!$J$6:$J$423,"="&amp;"Fri",'Falls Data Entry'!$H$6:$H$423,"&gt;="&amp;DATE(YEAR('Time Location Falls Summary'!$E$7),MONTH('Time Location Falls Summary'!$E$7),1),'Falls Data Entry'!$H$6:$H$423,"&lt;="&amp;EOMONTH(DATE(YEAR('Time Location Falls Summary'!$E$7),MONTH('Time Location Falls Summary'!$E$7),1),0),'Falls Data Entry'!$A$6:$A$423,D33)</f>
        <v>0</v>
      </c>
      <c r="F33" s="82" t="str">
        <f>IFERROR(E33/($E$13+$E$17+$E$21+$E$25+$E$29+$E$33+$E$37)," ")</f>
        <v xml:space="preserve"> </v>
      </c>
      <c r="G33" s="22">
        <f>COUNTIFS('Falls Data Entry'!$H$6:$H$423,"&lt;&gt;"&amp;" ",'Falls Data Entry'!$J$6:$J$423,"="&amp;"Fri",'Falls Data Entry'!$H$6:$H$423,"&gt;="&amp;DATE(YEAR(VALUE('Time Location Falls Summary'!$E$8)),1,1),'Falls Data Entry'!$H$6:$H$423,"&lt;="&amp;DATE(YEAR(VALUE('Time Location Falls Summary'!$E$8)),12,31),'Falls Data Entry'!$A$6:$A$423,D33)</f>
        <v>0</v>
      </c>
      <c r="H33" s="95" t="str">
        <f>IFERROR(G33/($G$13+$G$17+$G$21+$G$25+$G$29+$G$33+$G$37)," ")</f>
        <v xml:space="preserve"> </v>
      </c>
    </row>
    <row r="34" spans="3:8" ht="17.25" x14ac:dyDescent="0.3">
      <c r="C34" s="83"/>
      <c r="D34" s="84" t="str">
        <f>IF(ISNONTEXT('Falls Summary'!$F$5),"",'Falls Summary'!$F$5)</f>
        <v>Unit 2</v>
      </c>
      <c r="E34" s="22">
        <f>COUNTIFS('Falls Data Entry'!$H$6:$H$423,"&lt;&gt;"&amp;" ",'Falls Data Entry'!$J$6:$J$423,"="&amp;"Fri",'Falls Data Entry'!$H$6:$H$423,"&gt;="&amp;DATE(YEAR('Time Location Falls Summary'!$E$7),MONTH('Time Location Falls Summary'!$E$7),1),'Falls Data Entry'!$H$6:$H$423,"&lt;="&amp;EOMONTH(DATE(YEAR('Time Location Falls Summary'!$E$7),MONTH('Time Location Falls Summary'!$E$7),1),0),'Falls Data Entry'!$A$6:$A$423,D34)</f>
        <v>0</v>
      </c>
      <c r="F34" s="82" t="str">
        <f>IFERROR(E34/($E$14+$E$18+$E$22+$E$26+$E$30+$E$34+$E$38)," ")</f>
        <v xml:space="preserve"> </v>
      </c>
      <c r="G34" s="22">
        <f>COUNTIFS('Falls Data Entry'!$H$6:$H$423,"&lt;&gt;"&amp;" ",'Falls Data Entry'!$J$6:$J$423,"="&amp;"Fri",'Falls Data Entry'!$H$6:$H$423,"&gt;="&amp;DATE(YEAR(VALUE('Time Location Falls Summary'!$E$8)),1,1),'Falls Data Entry'!$H$6:$H$423,"&lt;="&amp;DATE(YEAR(VALUE('Time Location Falls Summary'!$E$8)),12,31),'Falls Data Entry'!$A$6:$A$423,D34)</f>
        <v>0</v>
      </c>
      <c r="H34" s="82" t="str">
        <f>IFERROR(G34/($G$14+$G$18+$G$22+$G$26+$G$30+$G$34+$G$38)," ")</f>
        <v xml:space="preserve"> </v>
      </c>
    </row>
    <row r="35" spans="3:8" ht="17.25" x14ac:dyDescent="0.3">
      <c r="C35" s="83"/>
      <c r="D35" s="84" t="str">
        <f>IF(ISNONTEXT('Falls Summary'!$G$5),"",'Falls Summary'!$G$5)</f>
        <v>Unit 3</v>
      </c>
      <c r="E35" s="22">
        <f>COUNTIFS('Falls Data Entry'!$H$6:$H$423,"&lt;&gt;"&amp;" ",'Falls Data Entry'!$J$6:$J$423,"="&amp;"Fri",'Falls Data Entry'!$H$6:$H$423,"&gt;="&amp;DATE(YEAR('Time Location Falls Summary'!$E$7),MONTH('Time Location Falls Summary'!$E$7),1),'Falls Data Entry'!$H$6:$H$423,"&lt;="&amp;EOMONTH(DATE(YEAR('Time Location Falls Summary'!$E$7),MONTH('Time Location Falls Summary'!$E$7),1),0),'Falls Data Entry'!$A$6:$A$423,D35)</f>
        <v>0</v>
      </c>
      <c r="F35" s="82" t="str">
        <f>IFERROR(E35/($E$15+$E$19+$E$23+$E$27+$E$31+$E$35+$E$39)," ")</f>
        <v xml:space="preserve"> </v>
      </c>
      <c r="G35" s="22">
        <f>COUNTIFS('Falls Data Entry'!$H$6:$H$423,"&lt;&gt;"&amp;" ",'Falls Data Entry'!$J$6:$J$423,"="&amp;"Fri",'Falls Data Entry'!$H$6:$H$423,"&gt;="&amp;DATE(YEAR(VALUE('Time Location Falls Summary'!$E$8)),1,1),'Falls Data Entry'!$H$6:$H$423,"&lt;="&amp;DATE(YEAR(VALUE('Time Location Falls Summary'!$E$8)),12,31),'Falls Data Entry'!$A$6:$A$423,D35)</f>
        <v>0</v>
      </c>
      <c r="H35" s="82" t="str">
        <f>IFERROR(G35/($G$15+$G$19+$G$23+$G$27+$G$31+$G$35+$G$39)," ")</f>
        <v xml:space="preserve"> </v>
      </c>
    </row>
    <row r="36" spans="3:8" ht="17.25" x14ac:dyDescent="0.3">
      <c r="C36" s="129" t="s">
        <v>44</v>
      </c>
      <c r="D36" s="131" t="s">
        <v>3</v>
      </c>
      <c r="E36" s="131">
        <f>COUNTIFS('Falls Data Entry'!$H$6:$H$423,"&lt;&gt;"&amp;" ",'Falls Data Entry'!$J$6:$J$423,"="&amp;"Sat",'Falls Data Entry'!$H$6:$H$423,"&gt;="&amp;DATE(YEAR('Time Location Falls Summary'!$E$7),MONTH('Time Location Falls Summary'!$E$7),1),'Falls Data Entry'!$H$6:$H$423,"&lt;="&amp;EOMONTH(DATE(YEAR('Time Location Falls Summary'!$E$7),MONTH('Time Location Falls Summary'!$E$7),1),0))</f>
        <v>0</v>
      </c>
      <c r="F36" s="131" t="str">
        <f>IFERROR(E36/($E$12+$E$16+$E$20+$E$24+$E$28+$E$32+$E$36)," ")</f>
        <v xml:space="preserve"> </v>
      </c>
      <c r="G36" s="131">
        <f>COUNTIFS('Falls Data Entry'!$H$6:$H$423,"&lt;&gt;"&amp;" ",'Falls Data Entry'!$J$6:$J$423,"="&amp;"Sat",'Falls Data Entry'!$H$6:$H$423,"&gt;="&amp;DATE(YEAR(VALUE('Time Location Falls Summary'!$E$8)),1,1),'Falls Data Entry'!$H$6:$H$423,"&lt;="&amp;DATE(YEAR(VALUE('Time Location Falls Summary'!$E$8)),12,31))</f>
        <v>0</v>
      </c>
      <c r="H36" s="131" t="str">
        <f>IFERROR(G36/($G$12+$G$16+$G$20+$G$24+$G$28+$G$32+$G$36)," ")</f>
        <v xml:space="preserve"> </v>
      </c>
    </row>
    <row r="37" spans="3:8" ht="17.25" x14ac:dyDescent="0.3">
      <c r="C37" s="83"/>
      <c r="D37" s="84" t="str">
        <f>IF(ISNONTEXT('Falls Summary'!$E$5),"",'Falls Summary'!$E$5)</f>
        <v>Unit 1</v>
      </c>
      <c r="E37" s="22">
        <f>COUNTIFS('Falls Data Entry'!$H$6:$H$423,"&lt;&gt;"&amp;" ",'Falls Data Entry'!$J$6:$J$423,"="&amp;"Sat",'Falls Data Entry'!$H$6:$H$423,"&gt;="&amp;DATE(YEAR('Time Location Falls Summary'!$E$7),MONTH('Time Location Falls Summary'!$E$7),1),'Falls Data Entry'!$H$6:$H$423,"&lt;="&amp;EOMONTH(DATE(YEAR('Time Location Falls Summary'!$E$7),MONTH('Time Location Falls Summary'!$E$7),1),0),'Falls Data Entry'!$A$6:$A$423,D37)</f>
        <v>0</v>
      </c>
      <c r="F37" s="82" t="str">
        <f>IFERROR(E37/($E$13+$E$17+$E$21+$E$25+$E$29+$E$33+$E$37)," ")</f>
        <v xml:space="preserve"> </v>
      </c>
      <c r="G37" s="22">
        <f>COUNTIFS('Falls Data Entry'!$H$6:$H$423,"&lt;&gt;"&amp;" ",'Falls Data Entry'!$J$6:$J$423,"="&amp;"Sat",'Falls Data Entry'!$H$6:$H$423,"&gt;="&amp;DATE(YEAR(VALUE('Time Location Falls Summary'!$E$8)),1,1),'Falls Data Entry'!$H$6:$H$423,"&lt;="&amp;DATE(YEAR(VALUE('Time Location Falls Summary'!$E$8)),12,31),'Falls Data Entry'!$A$6:$A$423,D37)</f>
        <v>0</v>
      </c>
      <c r="H37" s="95" t="str">
        <f>IFERROR(G37/($G$13+$G$17+$G$21+$G$25+$G$29+$G$33+$G$37)," ")</f>
        <v xml:space="preserve"> </v>
      </c>
    </row>
    <row r="38" spans="3:8" ht="17.25" x14ac:dyDescent="0.3">
      <c r="C38" s="83"/>
      <c r="D38" s="84" t="str">
        <f>IF(ISNONTEXT('Falls Summary'!$F$5),"",'Falls Summary'!$F$5)</f>
        <v>Unit 2</v>
      </c>
      <c r="E38" s="22">
        <f>COUNTIFS('Falls Data Entry'!$H$6:$H$423,"&lt;&gt;"&amp;" ",'Falls Data Entry'!$J$6:$J$423,"="&amp;"Sat",'Falls Data Entry'!$H$6:$H$423,"&gt;="&amp;DATE(YEAR('Time Location Falls Summary'!$E$7),MONTH('Time Location Falls Summary'!$E$7),1),'Falls Data Entry'!$H$6:$H$423,"&lt;="&amp;EOMONTH(DATE(YEAR('Time Location Falls Summary'!$E$7),MONTH('Time Location Falls Summary'!$E$7),1),0),'Falls Data Entry'!$A$6:$A$423,D38)</f>
        <v>0</v>
      </c>
      <c r="F38" s="82" t="str">
        <f>IFERROR(E38/($E$14+$E$18+$E$22+$E$26+$E$30+$E$34+$E$38)," ")</f>
        <v xml:space="preserve"> </v>
      </c>
      <c r="G38" s="22">
        <f>COUNTIFS('Falls Data Entry'!$H$6:$H$423,"&lt;&gt;"&amp;" ",'Falls Data Entry'!$J$6:$J$423,"="&amp;"Sat",'Falls Data Entry'!$H$6:$H$423,"&gt;="&amp;DATE(YEAR(VALUE('Time Location Falls Summary'!$E$8)),1,1),'Falls Data Entry'!$H$6:$H$423,"&lt;="&amp;DATE(YEAR(VALUE('Time Location Falls Summary'!$E$8)),12,31),'Falls Data Entry'!$A$6:$A$423,D38)</f>
        <v>0</v>
      </c>
      <c r="H38" s="82" t="str">
        <f>IFERROR(G38/($G$14+$G$18+$G$22+$G$26+$G$30+$G$34+$G$38)," ")</f>
        <v xml:space="preserve"> </v>
      </c>
    </row>
    <row r="39" spans="3:8" ht="17.25" x14ac:dyDescent="0.3">
      <c r="C39" s="98"/>
      <c r="D39" s="84" t="str">
        <f>IF(ISNONTEXT('Falls Summary'!$G$5),"",'Falls Summary'!$G$5)</f>
        <v>Unit 3</v>
      </c>
      <c r="E39" s="22">
        <f>COUNTIFS('Falls Data Entry'!$H$6:$H$423,"&lt;&gt;"&amp;" ",'Falls Data Entry'!$J$6:$J$423,"="&amp;"Sat",'Falls Data Entry'!$H$6:$H$423,"&gt;="&amp;DATE(YEAR('Time Location Falls Summary'!$E$7),MONTH('Time Location Falls Summary'!$E$7),1),'Falls Data Entry'!$H$6:$H$423,"&lt;="&amp;EOMONTH(DATE(YEAR('Time Location Falls Summary'!$E$7),MONTH('Time Location Falls Summary'!$E$7),1),0),'Falls Data Entry'!$A$6:$A$423,D39)</f>
        <v>0</v>
      </c>
      <c r="F39" s="82" t="str">
        <f>IFERROR(E39/($E$15+$E$19+$E$23+$E$27+$E$31+$E$35+$E$39)," ")</f>
        <v xml:space="preserve"> </v>
      </c>
      <c r="G39" s="22">
        <f>COUNTIFS('Falls Data Entry'!$H$6:$H$423,"&lt;&gt;"&amp;" ",'Falls Data Entry'!$J$6:$J$423,"="&amp;"Sat",'Falls Data Entry'!$H$6:$H$423,"&gt;="&amp;DATE(YEAR(VALUE('Time Location Falls Summary'!$E$8)),1,1),'Falls Data Entry'!$H$6:$H$423,"&lt;="&amp;DATE(YEAR(VALUE('Time Location Falls Summary'!$E$8)),12,31),'Falls Data Entry'!$A$6:$A$423,D39)</f>
        <v>0</v>
      </c>
      <c r="H39" s="82" t="str">
        <f>IFERROR(G39/($G$15+$G$19+$G$23+$G$27+$G$31+$G$35+$G$39)," ")</f>
        <v xml:space="preserve"> </v>
      </c>
    </row>
    <row r="40" spans="3:8" ht="17.25" x14ac:dyDescent="0.3">
      <c r="C40" s="28"/>
      <c r="D40" s="28"/>
      <c r="E40" s="7"/>
      <c r="F40" s="69"/>
      <c r="G40" s="7"/>
      <c r="H40" s="69"/>
    </row>
    <row r="41" spans="3:8" ht="17.25" x14ac:dyDescent="0.3">
      <c r="C41" s="7"/>
      <c r="D41" s="28"/>
      <c r="E41" s="7"/>
      <c r="F41" s="69"/>
      <c r="G41" s="7"/>
      <c r="H41" s="69"/>
    </row>
    <row r="42" spans="3:8" ht="20.25" x14ac:dyDescent="0.35">
      <c r="C42" s="76" t="s">
        <v>45</v>
      </c>
      <c r="D42" s="44"/>
      <c r="E42" s="168">
        <f>'Falls Summary'!$E$7</f>
        <v>46174</v>
      </c>
      <c r="F42" s="168"/>
      <c r="G42" s="169" t="s">
        <v>11</v>
      </c>
      <c r="H42" s="169"/>
    </row>
    <row r="43" spans="3:8" ht="17.25" x14ac:dyDescent="0.3">
      <c r="C43" s="61"/>
      <c r="D43" s="62"/>
      <c r="E43" s="63" t="s">
        <v>46</v>
      </c>
      <c r="F43" s="64" t="s">
        <v>47</v>
      </c>
      <c r="G43" s="63" t="s">
        <v>46</v>
      </c>
      <c r="H43" s="64" t="s">
        <v>47</v>
      </c>
    </row>
    <row r="44" spans="3:8" ht="17.25" x14ac:dyDescent="0.3">
      <c r="C44" s="129" t="s">
        <v>48</v>
      </c>
      <c r="D44" s="131" t="s">
        <v>3</v>
      </c>
      <c r="E44" s="131">
        <f>COUNTIFS('Falls Data Entry'!$H$6:$H$423,"&lt;&gt;"&amp;" ",'Falls Data Entry'!$K$6:$K$423,"="&amp;"Day",'Falls Data Entry'!$H$6:$H$423,"&gt;="&amp;DATE(YEAR('Time Location Falls Summary'!$E$7),MONTH('Time Location Falls Summary'!$E$7),1),'Falls Data Entry'!$H$6:$H$423,"&lt;="&amp;EOMONTH(DATE(YEAR('Time Location Falls Summary'!$E$7),MONTH('Time Location Falls Summary'!$E$7),1),0))</f>
        <v>0</v>
      </c>
      <c r="F44" s="131" t="str">
        <f>IFERROR(E44/($E$44+$E$48+$E$52)," ")</f>
        <v xml:space="preserve"> </v>
      </c>
      <c r="G44" s="131">
        <f>COUNTIFS('Falls Data Entry'!$H$6:$H$423,"&lt;&gt;"&amp;" ",'Falls Data Entry'!$K$6:$K$423,"="&amp;"Day",'Falls Data Entry'!$H$6:$H$423,"&gt;="&amp;DATE(YEAR(VALUE('Time Location Falls Summary'!$E$8)),1,1),'Falls Data Entry'!$H$6:$H$423,"&lt;="&amp;DATE(YEAR(VALUE('Time Location Falls Summary'!$E$8)),12,31))</f>
        <v>0</v>
      </c>
      <c r="H44" s="131" t="str">
        <f>IFERROR(G44/($G$44+$G$48+$G$52)," ")</f>
        <v xml:space="preserve"> </v>
      </c>
    </row>
    <row r="45" spans="3:8" ht="17.25" x14ac:dyDescent="0.3">
      <c r="C45" s="83"/>
      <c r="D45" s="84" t="str">
        <f>IF(ISNONTEXT('Falls Summary'!$E$5),"",'Falls Summary'!$E$5)</f>
        <v>Unit 1</v>
      </c>
      <c r="E45" s="22">
        <f>COUNTIFS('Falls Data Entry'!$H$6:$H$423,"&lt;&gt;"&amp;" ",'Falls Data Entry'!$K$6:$K$423,"="&amp;"Day",'Falls Data Entry'!$H$6:$H$423,"&gt;="&amp;DATE(YEAR('Time Location Falls Summary'!$E$7),MONTH('Time Location Falls Summary'!$E$7),1),'Falls Data Entry'!$H$6:$H$423,"&lt;="&amp;EOMONTH(DATE(YEAR('Time Location Falls Summary'!$E$7),MONTH('Time Location Falls Summary'!$E$7),1),0),'Falls Data Entry'!$A$6:$A$423,D45)</f>
        <v>0</v>
      </c>
      <c r="F45" s="82" t="str">
        <f>IFERROR(E45/($E$45+$E$49+$E$53)," ")</f>
        <v xml:space="preserve"> </v>
      </c>
      <c r="G45" s="22">
        <f>COUNTIFS('Falls Data Entry'!$H$6:$H$423,"&lt;&gt;"&amp;" ",'Falls Data Entry'!$K$6:$K$423,"="&amp;"Day",'Falls Data Entry'!$H$6:$H$423,"&gt;="&amp;DATE(YEAR(VALUE('Time Location Falls Summary'!$E$8)),1,1),'Falls Data Entry'!$H$6:$H$423,"&lt;="&amp;DATE(YEAR(VALUE('Time Location Falls Summary'!$E$8)),12,31),'Falls Data Entry'!$A$6:$A$423,D45)</f>
        <v>0</v>
      </c>
      <c r="H45" s="82" t="str">
        <f>IFERROR(G45/($G$44+$G$48+$G$52)," ")</f>
        <v xml:space="preserve"> </v>
      </c>
    </row>
    <row r="46" spans="3:8" ht="17.25" x14ac:dyDescent="0.3">
      <c r="C46" s="83"/>
      <c r="D46" s="84" t="str">
        <f>IF(ISNONTEXT('Falls Summary'!$F$5),"",'Falls Summary'!$F$5)</f>
        <v>Unit 2</v>
      </c>
      <c r="E46" s="22">
        <f>COUNTIFS('Falls Data Entry'!$H$6:$H$423,"&lt;&gt;"&amp;" ",'Falls Data Entry'!$K$6:$K$423,"="&amp;"Day",'Falls Data Entry'!$H$6:$H$423,"&gt;="&amp;DATE(YEAR('Time Location Falls Summary'!$E$7),MONTH('Time Location Falls Summary'!$E$7),1),'Falls Data Entry'!$H$6:$H$423,"&lt;="&amp;EOMONTH(DATE(YEAR('Time Location Falls Summary'!$E$7),MONTH('Time Location Falls Summary'!$E$7),1),0),'Falls Data Entry'!$A$6:$A$423,D46)</f>
        <v>0</v>
      </c>
      <c r="F46" s="82" t="str">
        <f>IFERROR(E46/($E$46+$E$50+$E$54)," ")</f>
        <v xml:space="preserve"> </v>
      </c>
      <c r="G46" s="22">
        <f>COUNTIFS('Falls Data Entry'!$H$6:$H$423,"&lt;&gt;"&amp;" ",'Falls Data Entry'!$K$6:$K$423,"="&amp;"Day",'Falls Data Entry'!$H$6:$H$423,"&gt;="&amp;DATE(YEAR(VALUE('Time Location Falls Summary'!$E$8)),1,1),'Falls Data Entry'!$H$6:$H$423,"&lt;="&amp;DATE(YEAR(VALUE('Time Location Falls Summary'!$E$8)),12,31),'Falls Data Entry'!$A$6:$A$423,D46)</f>
        <v>0</v>
      </c>
      <c r="H46" s="82" t="str">
        <f>IFERROR(G46/($G$44+$G$48+$G$52)," ")</f>
        <v xml:space="preserve"> </v>
      </c>
    </row>
    <row r="47" spans="3:8" ht="17.25" x14ac:dyDescent="0.3">
      <c r="C47" s="83"/>
      <c r="D47" s="84" t="str">
        <f>IF(ISNONTEXT('Falls Summary'!$G$5),"",'Falls Summary'!$G$5)</f>
        <v>Unit 3</v>
      </c>
      <c r="E47" s="22">
        <f>COUNTIFS('Falls Data Entry'!$H$6:$H$423,"&lt;&gt;"&amp;" ",'Falls Data Entry'!$K$6:$K$423,"="&amp;"Day",'Falls Data Entry'!$H$6:$H$423,"&gt;="&amp;DATE(YEAR('Time Location Falls Summary'!$E$7),MONTH('Time Location Falls Summary'!$E$7),1),'Falls Data Entry'!$H$6:$H$423,"&lt;="&amp;EOMONTH(DATE(YEAR('Time Location Falls Summary'!$E$7),MONTH('Time Location Falls Summary'!$E$7),1),0),'Falls Data Entry'!$A$6:$A$423,D47)</f>
        <v>0</v>
      </c>
      <c r="F47" s="82" t="str">
        <f>IFERROR(E47/($E$47+$E$51+$E$55)," ")</f>
        <v xml:space="preserve"> </v>
      </c>
      <c r="G47" s="22">
        <f>COUNTIFS('Falls Data Entry'!$H$6:$H$423,"&lt;&gt;"&amp;" ",'Falls Data Entry'!$K$6:$K$423,"="&amp;"Day",'Falls Data Entry'!$H$6:$H$423,"&gt;="&amp;DATE(YEAR(VALUE('Time Location Falls Summary'!$E$8)),1,1),'Falls Data Entry'!$H$6:$H$423,"&lt;="&amp;DATE(YEAR(VALUE('Time Location Falls Summary'!$E$8)),12,31),'Falls Data Entry'!$A$6:$A$423,D47)</f>
        <v>0</v>
      </c>
      <c r="H47" s="82" t="str">
        <f>IFERROR(G47/($G$44+$G$48+$G$52)," ")</f>
        <v xml:space="preserve"> </v>
      </c>
    </row>
    <row r="48" spans="3:8" ht="17.25" x14ac:dyDescent="0.3">
      <c r="C48" s="129" t="s">
        <v>49</v>
      </c>
      <c r="D48" s="131" t="s">
        <v>3</v>
      </c>
      <c r="E48" s="131">
        <f>COUNTIFS('Falls Data Entry'!$H$6:$H$423,"&lt;&gt;"&amp;" ",'Falls Data Entry'!$K$6:$K$423,"="&amp;"Evening",'Falls Data Entry'!$H$6:$H$423,"&gt;="&amp;DATE(YEAR('Time Location Falls Summary'!$E$7),MONTH('Time Location Falls Summary'!$E$7),1),'Falls Data Entry'!$H$6:$H$423,"&lt;="&amp;EOMONTH(DATE(YEAR('Time Location Falls Summary'!$E$7),MONTH('Time Location Falls Summary'!$E$7),1),0))</f>
        <v>0</v>
      </c>
      <c r="F48" s="131" t="str">
        <f>IFERROR(E48/($E$44+$E$48+$E$52)," ")</f>
        <v xml:space="preserve"> </v>
      </c>
      <c r="G48" s="131">
        <f>COUNTIFS('Falls Data Entry'!$H$6:$H$423,"&lt;&gt;"&amp;" ",'Falls Data Entry'!$K$6:$K$423,"="&amp;"Evening",'Falls Data Entry'!$H$6:$H$423,"&gt;="&amp;DATE(YEAR(VALUE('Time Location Falls Summary'!$E$8)),1,1),'Falls Data Entry'!$H$6:$H$423,"&lt;="&amp;DATE(YEAR(VALUE('Time Location Falls Summary'!$E$8)),12,31))</f>
        <v>0</v>
      </c>
      <c r="H48" s="131" t="str">
        <f>IFERROR(G48/($G$44+$G$48+$G$52)," ")</f>
        <v xml:space="preserve"> </v>
      </c>
    </row>
    <row r="49" spans="3:8" ht="17.25" x14ac:dyDescent="0.3">
      <c r="C49" s="83"/>
      <c r="D49" s="84" t="str">
        <f>IF(ISNONTEXT('Falls Summary'!$E$5),"",'Falls Summary'!$E$5)</f>
        <v>Unit 1</v>
      </c>
      <c r="E49" s="22">
        <f>COUNTIFS('Falls Data Entry'!$H$6:$H$423,"&lt;&gt;"&amp;" ",'Falls Data Entry'!$K$6:$K$423,"="&amp;"Evening",'Falls Data Entry'!$H$6:$H$423,"&gt;="&amp;DATE(YEAR('Time Location Falls Summary'!$E$7),MONTH('Time Location Falls Summary'!$E$7),1),'Falls Data Entry'!$H$6:$H$423,"&lt;="&amp;EOMONTH(DATE(YEAR('Time Location Falls Summary'!$E$7),MONTH('Time Location Falls Summary'!$E$7),1),0),'Falls Data Entry'!$A$6:$A$423,D49)</f>
        <v>0</v>
      </c>
      <c r="F49" s="82" t="str">
        <f>IFERROR(E49/($E$45+$E$49+$E$53)," ")</f>
        <v xml:space="preserve"> </v>
      </c>
      <c r="G49" s="22">
        <f>COUNTIFS('Falls Data Entry'!$H$6:$H$423,"&lt;&gt;"&amp;" ",'Falls Data Entry'!$K$6:$K$423,"="&amp;"Evening",'Falls Data Entry'!$H$6:$H$423,"&gt;="&amp;DATE(YEAR(VALUE('Time Location Falls Summary'!$E$8)),1,1),'Falls Data Entry'!$H$6:$H$423,"&lt;="&amp;DATE(YEAR(VALUE('Time Location Falls Summary'!$E$8)),12,31),'Falls Data Entry'!$A$6:$A$423,D49)</f>
        <v>0</v>
      </c>
      <c r="H49" s="82" t="str">
        <f>IFERROR(G49/($G$45+$G$49+$G$53)," ")</f>
        <v xml:space="preserve"> </v>
      </c>
    </row>
    <row r="50" spans="3:8" ht="17.25" x14ac:dyDescent="0.3">
      <c r="C50" s="83"/>
      <c r="D50" s="84" t="str">
        <f>IF(ISNONTEXT('Falls Summary'!$F$5),"",'Falls Summary'!$F$5)</f>
        <v>Unit 2</v>
      </c>
      <c r="E50" s="22">
        <f>COUNTIFS('Falls Data Entry'!$H$6:$H$423,"&lt;&gt;"&amp;" ",'Falls Data Entry'!$K$6:$K$423,"="&amp;"Evening",'Falls Data Entry'!$H$6:$H$423,"&gt;="&amp;DATE(YEAR('Time Location Falls Summary'!$E$7),MONTH('Time Location Falls Summary'!$E$7),1),'Falls Data Entry'!$H$6:$H$423,"&lt;="&amp;EOMONTH(DATE(YEAR('Time Location Falls Summary'!$E$7),MONTH('Time Location Falls Summary'!$E$7),1),0),'Falls Data Entry'!$A$6:$A$423,D50)</f>
        <v>0</v>
      </c>
      <c r="F50" s="82" t="str">
        <f>IFERROR(E50/($E$46+$E$50+$E$54)," ")</f>
        <v xml:space="preserve"> </v>
      </c>
      <c r="G50" s="22">
        <f>COUNTIFS('Falls Data Entry'!$H$6:$H$423,"&lt;&gt;"&amp;" ",'Falls Data Entry'!$K$6:$K$423,"="&amp;"Evening",'Falls Data Entry'!$H$6:$H$423,"&gt;="&amp;DATE(YEAR(VALUE('Time Location Falls Summary'!$E$8)),1,1),'Falls Data Entry'!$H$6:$H$423,"&lt;="&amp;DATE(YEAR(VALUE('Time Location Falls Summary'!$E$8)),12,31),'Falls Data Entry'!$A$6:$A$423,D50)</f>
        <v>0</v>
      </c>
      <c r="H50" s="82" t="str">
        <f>IFERROR(G50/($G$46+$G$50+$G$54)," ")</f>
        <v xml:space="preserve"> </v>
      </c>
    </row>
    <row r="51" spans="3:8" ht="17.25" x14ac:dyDescent="0.3">
      <c r="C51" s="83"/>
      <c r="D51" s="84" t="str">
        <f>IF(ISNONTEXT('Falls Summary'!$G$5),"",'Falls Summary'!$G$5)</f>
        <v>Unit 3</v>
      </c>
      <c r="E51" s="22">
        <f>COUNTIFS('Falls Data Entry'!$H$6:$H$423,"&lt;&gt;"&amp;" ",'Falls Data Entry'!$K$6:$K$423,"="&amp;"Evening",'Falls Data Entry'!$H$6:$H$423,"&gt;="&amp;DATE(YEAR('Time Location Falls Summary'!$E$7),MONTH('Time Location Falls Summary'!$E$7),1),'Falls Data Entry'!$H$6:$H$423,"&lt;="&amp;EOMONTH(DATE(YEAR('Time Location Falls Summary'!$E$7),MONTH('Time Location Falls Summary'!$E$7),1),0),'Falls Data Entry'!$A$6:$A$423,D51)</f>
        <v>0</v>
      </c>
      <c r="F51" s="82" t="str">
        <f>IFERROR(E51/($E$47+$E$51+$E$55)," ")</f>
        <v xml:space="preserve"> </v>
      </c>
      <c r="G51" s="22">
        <f>COUNTIFS('Falls Data Entry'!$H$6:$H$423,"&lt;&gt;"&amp;" ",'Falls Data Entry'!$K$6:$K$423,"="&amp;"Evening",'Falls Data Entry'!$H$6:$H$423,"&gt;="&amp;DATE(YEAR(VALUE('Time Location Falls Summary'!$E$8)),1,1),'Falls Data Entry'!$H$6:$H$423,"&lt;="&amp;DATE(YEAR(VALUE('Time Location Falls Summary'!$E$8)),12,31),'Falls Data Entry'!$A$6:$A$423,D51)</f>
        <v>0</v>
      </c>
      <c r="H51" s="82" t="str">
        <f>IFERROR(G51/($G$47+$G$51+$G$55)," ")</f>
        <v xml:space="preserve"> </v>
      </c>
    </row>
    <row r="52" spans="3:8" ht="17.25" x14ac:dyDescent="0.3">
      <c r="C52" s="129" t="s">
        <v>50</v>
      </c>
      <c r="D52" s="131" t="s">
        <v>3</v>
      </c>
      <c r="E52" s="131">
        <f>COUNTIFS('Falls Data Entry'!$H$6:$H$423,"&lt;&gt;"&amp;" ",'Falls Data Entry'!$K$6:$K$423,"="&amp;"Night",'Falls Data Entry'!$H$6:$H$423,"&gt;="&amp;DATE(YEAR('Time Location Falls Summary'!$E$7),MONTH('Time Location Falls Summary'!$E$7),1),'Falls Data Entry'!$H$6:$H$423,"&lt;="&amp;EOMONTH(DATE(YEAR('Time Location Falls Summary'!$E$7),MONTH('Time Location Falls Summary'!$E$7),1),0))</f>
        <v>0</v>
      </c>
      <c r="F52" s="131" t="str">
        <f>IFERROR(E52/($E$44+$E$48+$E$52)," ")</f>
        <v xml:space="preserve"> </v>
      </c>
      <c r="G52" s="131">
        <f>COUNTIFS('Falls Data Entry'!$H$6:$H$423,"&lt;&gt;"&amp;" ",'Falls Data Entry'!$K$6:$K$423,"="&amp;"Night",'Falls Data Entry'!$H$6:$H$423,"&gt;="&amp;DATE(YEAR(VALUE('Time Location Falls Summary'!$E$8)),1,1),'Falls Data Entry'!$H$6:$H$423,"&lt;="&amp;DATE(YEAR(VALUE('Time Location Falls Summary'!$E$8)),12,31))</f>
        <v>0</v>
      </c>
      <c r="H52" s="131" t="str">
        <f>IFERROR(G52/($G$44+$G$48+$G$52)," ")</f>
        <v xml:space="preserve"> </v>
      </c>
    </row>
    <row r="53" spans="3:8" ht="17.25" x14ac:dyDescent="0.3">
      <c r="C53" s="83"/>
      <c r="D53" s="84" t="str">
        <f>IF(ISNONTEXT('Falls Summary'!$E$5),"",'Falls Summary'!$E$5)</f>
        <v>Unit 1</v>
      </c>
      <c r="E53" s="22">
        <f>COUNTIFS('Falls Data Entry'!$H$6:$H$423,"&lt;&gt;"&amp;" ",'Falls Data Entry'!$K$6:$K$423,"="&amp;"Night",'Falls Data Entry'!$H$6:$H$423,"&gt;="&amp;DATE(YEAR('Time Location Falls Summary'!$E$7),MONTH('Time Location Falls Summary'!$E$7),1),'Falls Data Entry'!$H$6:$H$423,"&lt;="&amp;EOMONTH(DATE(YEAR('Time Location Falls Summary'!$E$7),MONTH('Time Location Falls Summary'!$E$7),1),0),'Falls Data Entry'!$A$6:$A$423,D53)</f>
        <v>0</v>
      </c>
      <c r="F53" s="82" t="str">
        <f>IFERROR(E53/($E$45+$E$49+$E$53)," ")</f>
        <v xml:space="preserve"> </v>
      </c>
      <c r="G53" s="22">
        <f>COUNTIFS('Falls Data Entry'!$H$6:$H$423,"&lt;&gt;"&amp;" ",'Falls Data Entry'!$K$6:$K$423,"="&amp;"Night",'Falls Data Entry'!$H$6:$H$423,"&gt;="&amp;DATE(YEAR(VALUE('Time Location Falls Summary'!$E$8)),1,1),'Falls Data Entry'!$H$6:$H$423,"&lt;="&amp;DATE(YEAR(VALUE('Time Location Falls Summary'!$E$8)),12,31),'Falls Data Entry'!$A$6:$A$423,D53)</f>
        <v>0</v>
      </c>
      <c r="H53" s="82" t="str">
        <f>IFERROR(G53/($G$45+$G$49+$G$53)," ")</f>
        <v xml:space="preserve"> </v>
      </c>
    </row>
    <row r="54" spans="3:8" ht="17.25" x14ac:dyDescent="0.3">
      <c r="C54" s="83"/>
      <c r="D54" s="84" t="str">
        <f>IF(ISNONTEXT('Falls Summary'!$F$5),"",'Falls Summary'!$F$5)</f>
        <v>Unit 2</v>
      </c>
      <c r="E54" s="22">
        <f>COUNTIFS('Falls Data Entry'!$H$6:$H$423,"&lt;&gt;"&amp;" ",'Falls Data Entry'!$K$6:$K$423,"="&amp;"Night",'Falls Data Entry'!$H$6:$H$423,"&gt;="&amp;DATE(YEAR('Time Location Falls Summary'!$E$7),MONTH('Time Location Falls Summary'!$E$7),1),'Falls Data Entry'!$H$6:$H$423,"&lt;="&amp;EOMONTH(DATE(YEAR('Time Location Falls Summary'!$E$7),MONTH('Time Location Falls Summary'!$E$7),1),0),'Falls Data Entry'!$A$6:$A$423,D54)</f>
        <v>0</v>
      </c>
      <c r="F54" s="82" t="str">
        <f>IFERROR(E54/($E$46+$E$50+$E$54)," ")</f>
        <v xml:space="preserve"> </v>
      </c>
      <c r="G54" s="22">
        <f>COUNTIFS('Falls Data Entry'!$H$6:$H$423,"&lt;&gt;"&amp;" ",'Falls Data Entry'!$K$6:$K$423,"="&amp;"Night",'Falls Data Entry'!$H$6:$H$423,"&gt;="&amp;DATE(YEAR(VALUE('Time Location Falls Summary'!$E$8)),1,1),'Falls Data Entry'!$H$6:$H$423,"&lt;="&amp;DATE(YEAR(VALUE('Time Location Falls Summary'!$E$8)),12,31),'Falls Data Entry'!$A$6:$A$423,D54)</f>
        <v>0</v>
      </c>
      <c r="H54" s="82" t="str">
        <f>IFERROR(G54/($G$46+$G$50+$G$54)," ")</f>
        <v xml:space="preserve"> </v>
      </c>
    </row>
    <row r="55" spans="3:8" ht="17.25" x14ac:dyDescent="0.3">
      <c r="C55" s="94"/>
      <c r="D55" s="84" t="str">
        <f>IF(ISNONTEXT('Falls Summary'!$G$5),"",'Falls Summary'!$G$5)</f>
        <v>Unit 3</v>
      </c>
      <c r="E55" s="22">
        <f>COUNTIFS('Falls Data Entry'!$H$6:$H$423,"&lt;&gt;"&amp;" ",'Falls Data Entry'!$K$6:$K$423,"="&amp;"Night",'Falls Data Entry'!$H$6:$H$423,"&gt;="&amp;DATE(YEAR('Time Location Falls Summary'!$E$7),MONTH('Time Location Falls Summary'!$E$7),1),'Falls Data Entry'!$H$6:$H$423,"&lt;="&amp;EOMONTH(DATE(YEAR('Time Location Falls Summary'!$E$7),MONTH('Time Location Falls Summary'!$E$7),1),0),'Falls Data Entry'!$A$6:$A$423,D55)</f>
        <v>0</v>
      </c>
      <c r="F55" s="82" t="str">
        <f>IFERROR(E55/($E$47+$E$51+$E$55)," ")</f>
        <v xml:space="preserve"> </v>
      </c>
      <c r="G55" s="22">
        <f>COUNTIFS('Falls Data Entry'!$H$6:$H$423,"&lt;&gt;"&amp;" ",'Falls Data Entry'!$K$6:$K$423,"="&amp;"Night",'Falls Data Entry'!$H$6:$H$423,"&gt;="&amp;DATE(YEAR(VALUE('Time Location Falls Summary'!$E$8)),1,1),'Falls Data Entry'!$H$6:$H$423,"&lt;="&amp;DATE(YEAR(VALUE('Time Location Falls Summary'!$E$8)),12,31),'Falls Data Entry'!$A$6:$A$423,D55)</f>
        <v>0</v>
      </c>
      <c r="H55" s="82" t="str">
        <f>IFERROR(G55/($G$47+$G$51+$G$55)," ")</f>
        <v xml:space="preserve"> </v>
      </c>
    </row>
    <row r="62" spans="3:8" ht="20.25" x14ac:dyDescent="0.35">
      <c r="C62" s="76" t="s">
        <v>51</v>
      </c>
      <c r="D62" s="44"/>
      <c r="E62" s="168">
        <f>'Falls Summary'!$E$7</f>
        <v>46174</v>
      </c>
      <c r="F62" s="168"/>
      <c r="G62" s="169" t="s">
        <v>11</v>
      </c>
      <c r="H62" s="169"/>
    </row>
    <row r="63" spans="3:8" ht="17.25" x14ac:dyDescent="0.3">
      <c r="C63" s="61"/>
      <c r="D63" s="62"/>
      <c r="E63" s="63" t="s">
        <v>52</v>
      </c>
      <c r="F63" s="64" t="s">
        <v>53</v>
      </c>
      <c r="G63" s="63" t="s">
        <v>52</v>
      </c>
      <c r="H63" s="64" t="s">
        <v>53</v>
      </c>
    </row>
    <row r="64" spans="3:8" ht="17.25" x14ac:dyDescent="0.3">
      <c r="C64" s="129" t="s">
        <v>54</v>
      </c>
      <c r="D64" s="131" t="s">
        <v>3</v>
      </c>
      <c r="E64" s="131">
        <f>COUNTIFS('Falls Data Entry'!$H$6:$H$423,"&lt;&gt;"&amp;" ",'Falls Data Entry'!$M$6:$M$423,"="&amp;"7-9:59am",'Falls Data Entry'!$H$6:$H$423,"&gt;="&amp;DATE(YEAR('Time Location Falls Summary'!$E$7),MONTH('Time Location Falls Summary'!$E$7),1),'Falls Data Entry'!$H$6:$H$423,"&lt;="&amp;EOMONTH(DATE(YEAR('Time Location Falls Summary'!$E$7),MONTH('Time Location Falls Summary'!$E$7),1),0))</f>
        <v>0</v>
      </c>
      <c r="F64" s="131" t="str">
        <f>IFERROR(E64/($E$64+$E$68+$E$72+$E$76+$E$82+$E$86+$E$90+$E$96+$E$100+$E$104)," ")</f>
        <v xml:space="preserve"> </v>
      </c>
      <c r="G64" s="131">
        <f>COUNTIFS('Falls Data Entry'!$H$6:$H$423,"&lt;&gt;"&amp;" ",'Falls Data Entry'!$M$6:$M$423,"="&amp;"7-9:59am",'Falls Data Entry'!$H$6:$H$423,"&gt;="&amp;DATE(YEAR(VALUE('Time Location Falls Summary'!$E$8)),1,1),'Falls Data Entry'!$H$6:$H$423,"&lt;="&amp;DATE(YEAR(VALUE('Time Location Falls Summary'!$E$8)),12,31))</f>
        <v>0</v>
      </c>
      <c r="H64" s="131" t="str">
        <f>IFERROR(G64/($G$64+$G$68+$G$72+$G$76+$G$82+$G$86+$G$90+$G$96+$G$100+$G$104)," ")</f>
        <v xml:space="preserve"> </v>
      </c>
    </row>
    <row r="65" spans="3:8" ht="17.25" x14ac:dyDescent="0.3">
      <c r="C65" s="83"/>
      <c r="D65" s="84" t="str">
        <f>IF(ISNONTEXT('Falls Summary'!$E$5),"",'Falls Summary'!$E$5)</f>
        <v>Unit 1</v>
      </c>
      <c r="E65" s="22">
        <f>COUNTIFS('Falls Data Entry'!$H$6:$H$423,"&lt;&gt;"&amp;" ",'Falls Data Entry'!$M$6:$M$423,"="&amp;"7-9:59am",'Falls Data Entry'!$H$6:$H$423,"&gt;="&amp;DATE(YEAR('Time Location Falls Summary'!$E$7),MONTH('Time Location Falls Summary'!$E$7),1),'Falls Data Entry'!$H$6:$H$423,"&lt;="&amp;EOMONTH(DATE(YEAR('Time Location Falls Summary'!$E$7),MONTH('Time Location Falls Summary'!$E$7),1),0),'Falls Data Entry'!$A$6:$A$423,D65)</f>
        <v>0</v>
      </c>
      <c r="F65" s="82" t="str">
        <f>IFERROR(E65/($E$65+$E$69+$E$73+$E$77+$E$83+$E$87+$E$91+$E$97+$E$101+$E$105)," ")</f>
        <v xml:space="preserve"> </v>
      </c>
      <c r="G65" s="22">
        <f>COUNTIFS('Falls Data Entry'!$H$6:$H$423,"&lt;&gt;"&amp;" ",'Falls Data Entry'!$M$6:$M$423,"="&amp;"7-9:59am",'Falls Data Entry'!$H$6:$H$423,"&gt;="&amp;DATE(YEAR(VALUE('Time Location Falls Summary'!$E$8)),1,1),'Falls Data Entry'!$H$6:$H$423,"&lt;="&amp;DATE(YEAR(VALUE('Time Location Falls Summary'!$E$8)),12,31),'Falls Data Entry'!$A$6:$A$423,D65)</f>
        <v>0</v>
      </c>
      <c r="H65" s="82" t="str">
        <f>IFERROR(G65/($G$65+$G$69+$G$73+$G$77+$G$83+$G$87+$G$91+$G$97+$G$101+$G$105)," ")</f>
        <v xml:space="preserve"> </v>
      </c>
    </row>
    <row r="66" spans="3:8" ht="17.25" x14ac:dyDescent="0.3">
      <c r="C66" s="83"/>
      <c r="D66" s="84" t="str">
        <f>IF(ISNONTEXT('Falls Summary'!$F$5),"",'Falls Summary'!$F$5)</f>
        <v>Unit 2</v>
      </c>
      <c r="E66" s="22">
        <f>COUNTIFS('Falls Data Entry'!$H$6:$H$423,"&lt;&gt;"&amp;" ",'Falls Data Entry'!$M$6:$M$423,"="&amp;"7-9:59am",'Falls Data Entry'!$H$6:$H$423,"&gt;="&amp;DATE(YEAR('Time Location Falls Summary'!$E$7),MONTH('Time Location Falls Summary'!$E$7),1),'Falls Data Entry'!$H$6:$H$423,"&lt;="&amp;EOMONTH(DATE(YEAR('Time Location Falls Summary'!$E$7),MONTH('Time Location Falls Summary'!$E$7),1),0),'Falls Data Entry'!$A$6:$A$423,D66)</f>
        <v>0</v>
      </c>
      <c r="F66" s="82" t="str">
        <f>IFERROR(E66/($E$66+$E$70+$E$74+$E$78+$E$84+$E$88+$E$92+$E$98+$E$102+$E$106)," ")</f>
        <v xml:space="preserve"> </v>
      </c>
      <c r="G66" s="22">
        <f>COUNTIFS('Falls Data Entry'!$H$6:$H$423,"&lt;&gt;"&amp;" ",'Falls Data Entry'!$M$6:$M$423,"="&amp;"7-9:59am",'Falls Data Entry'!$H$6:$H$423,"&gt;="&amp;DATE(YEAR(VALUE('Time Location Falls Summary'!$E$8)),1,1),'Falls Data Entry'!$H$6:$H$423,"&lt;="&amp;DATE(YEAR(VALUE('Time Location Falls Summary'!$E$8)),12,31),'Falls Data Entry'!$A$6:$A$423,D66)</f>
        <v>0</v>
      </c>
      <c r="H66" s="82" t="str">
        <f>IFERROR(G66/($G$66+$G$70+$G$74+$G$78+$G$84+$G$88+$G$92+$G$98+$G$102+$G$106)," ")</f>
        <v xml:space="preserve"> </v>
      </c>
    </row>
    <row r="67" spans="3:8" ht="17.25" x14ac:dyDescent="0.3">
      <c r="C67" s="83"/>
      <c r="D67" s="84" t="str">
        <f>IF(ISNONTEXT('Falls Summary'!$G$5),"",'Falls Summary'!$G$5)</f>
        <v>Unit 3</v>
      </c>
      <c r="E67" s="22">
        <f>COUNTIFS('Falls Data Entry'!$H$6:$H$423,"&lt;&gt;"&amp;" ",'Falls Data Entry'!$M$6:$M$423,"="&amp;"7-9:59am",'Falls Data Entry'!$H$6:$H$423,"&gt;="&amp;DATE(YEAR('Time Location Falls Summary'!$E$7),MONTH('Time Location Falls Summary'!$E$7),1),'Falls Data Entry'!$H$6:$H$423,"&lt;="&amp;EOMONTH(DATE(YEAR('Time Location Falls Summary'!$E$7),MONTH('Time Location Falls Summary'!$E$7),1),0),'Falls Data Entry'!$A$6:$A$423,D67)</f>
        <v>0</v>
      </c>
      <c r="F67" s="82" t="str">
        <f t="shared" ref="F67" si="0">IFERROR(E67/(E67+E71+E75+E79+E85+E89+E93+E99+E103+E107)," ")</f>
        <v xml:space="preserve"> </v>
      </c>
      <c r="G67" s="22">
        <f>COUNTIFS('Falls Data Entry'!$H$6:$H$423,"&lt;&gt;"&amp;" ",'Falls Data Entry'!$M$6:$M$423,"="&amp;"7-9:59am",'Falls Data Entry'!$H$6:$H$423,"&gt;="&amp;DATE(YEAR(VALUE('Time Location Falls Summary'!$E$8)),1,1),'Falls Data Entry'!$H$6:$H$423,"&lt;="&amp;DATE(YEAR(VALUE('Time Location Falls Summary'!$E$8)),12,31),'Falls Data Entry'!$A$6:$A$423,D67)</f>
        <v>0</v>
      </c>
      <c r="H67" s="82" t="str">
        <f>IFERROR(G67/($G$67+$G$71+$G$75+$G$79+$G$85+$G$89+$G$93+$G$99+$G$103+$G$107)," ")</f>
        <v xml:space="preserve"> </v>
      </c>
    </row>
    <row r="68" spans="3:8" ht="17.25" x14ac:dyDescent="0.3">
      <c r="C68" s="129" t="s">
        <v>55</v>
      </c>
      <c r="D68" s="131" t="s">
        <v>3</v>
      </c>
      <c r="E68" s="131">
        <f>COUNTIFS('Falls Data Entry'!$H$6:$H$423,"&lt;&gt;"&amp;" ",'Falls Data Entry'!$M$6:$M$423,"="&amp;"10-11:59am",'Falls Data Entry'!$H$6:$H$423,"&gt;="&amp;DATE(YEAR('Time Location Falls Summary'!$E$7),MONTH('Time Location Falls Summary'!$E$7),1),'Falls Data Entry'!$H$6:$H$423,"&lt;="&amp;EOMONTH(DATE(YEAR('Time Location Falls Summary'!$E$7),MONTH('Time Location Falls Summary'!$E$7),1),0))</f>
        <v>0</v>
      </c>
      <c r="F68" s="131" t="str">
        <f>IFERROR(E68/($E$64+$E$68+$E$72+$E$76+$E$82+$E$86+$E$90+$E$96+$E$100+$E$104)," ")</f>
        <v xml:space="preserve"> </v>
      </c>
      <c r="G68" s="131">
        <f>COUNTIFS('Falls Data Entry'!$H$6:$H$423,"&lt;&gt;"&amp;" ",'Falls Data Entry'!$M$6:$M$423,"="&amp;"10-11:59am",'Falls Data Entry'!$H$6:$H$423,"&gt;="&amp;DATE(YEAR(VALUE('Time Location Falls Summary'!$E$8)),1,1),'Falls Data Entry'!$H$6:$H$423,"&lt;="&amp;DATE(YEAR(VALUE('Time Location Falls Summary'!$E$8)),12,31))</f>
        <v>0</v>
      </c>
      <c r="H68" s="131" t="str">
        <f>IFERROR(G68/($G$64+$G$68+$G$72+$G$76+$G$82+$G$86+$G$90+$G$96+$G$100+$G$104)," ")</f>
        <v xml:space="preserve"> </v>
      </c>
    </row>
    <row r="69" spans="3:8" ht="17.25" x14ac:dyDescent="0.3">
      <c r="C69" s="83"/>
      <c r="D69" s="84" t="str">
        <f>IF(ISNONTEXT('Falls Summary'!$E$5),"",'Falls Summary'!$E$5)</f>
        <v>Unit 1</v>
      </c>
      <c r="E69" s="22">
        <f>COUNTIFS('Falls Data Entry'!$H$6:$H$423,"&lt;&gt;"&amp;" ",'Falls Data Entry'!$M$6:$M$423,"="&amp;"10-11:59am",'Falls Data Entry'!$H$6:$H$423,"&gt;="&amp;DATE(YEAR('Time Location Falls Summary'!$E$7),MONTH('Time Location Falls Summary'!$E$7),1),'Falls Data Entry'!$H$6:$H$423,"&lt;="&amp;EOMONTH(DATE(YEAR('Time Location Falls Summary'!$E$7),MONTH('Time Location Falls Summary'!$E$7),1),0),'Falls Data Entry'!$A$6:$A$423,D69)</f>
        <v>0</v>
      </c>
      <c r="F69" s="82" t="str">
        <f>IFERROR(E69/($E$65+$E$69+$E$73+$E$77+$E$83+$E$87+$E$91+$E$97+$E$101+$E$105)," ")</f>
        <v xml:space="preserve"> </v>
      </c>
      <c r="G69" s="22">
        <f>COUNTIFS('Falls Data Entry'!$H$6:$H$423,"&lt;&gt;"&amp;" ",'Falls Data Entry'!$M$6:$M$423,"="&amp;"10-11:59am",'Falls Data Entry'!$H$6:$H$423,"&gt;="&amp;DATE(YEAR(VALUE('Time Location Falls Summary'!$E$8)),1,1),'Falls Data Entry'!$H$6:$H$423,"&lt;="&amp;DATE(YEAR(VALUE('Time Location Falls Summary'!$E$8)),12,31),'Falls Data Entry'!$A$6:$A$423,D69)</f>
        <v>0</v>
      </c>
      <c r="H69" s="82" t="str">
        <f>IFERROR(G69/($G$65+$G$69+$G$73+$G$77+$G$83+$G$87+$G$91+$G$97+$G$101+$G$105)," ")</f>
        <v xml:space="preserve"> </v>
      </c>
    </row>
    <row r="70" spans="3:8" ht="17.25" x14ac:dyDescent="0.3">
      <c r="C70" s="83"/>
      <c r="D70" s="84" t="str">
        <f>IF(ISNONTEXT('Falls Summary'!$F$5),"",'Falls Summary'!$F$5)</f>
        <v>Unit 2</v>
      </c>
      <c r="E70" s="22">
        <f>COUNTIFS('Falls Data Entry'!$H$6:$H$423,"&lt;&gt;"&amp;" ",'Falls Data Entry'!$M$6:$M$423,"="&amp;"10-11:59am",'Falls Data Entry'!$H$6:$H$423,"&gt;="&amp;DATE(YEAR('Time Location Falls Summary'!$E$7),MONTH('Time Location Falls Summary'!$E$7),1),'Falls Data Entry'!$H$6:$H$423,"&lt;="&amp;EOMONTH(DATE(YEAR('Time Location Falls Summary'!$E$7),MONTH('Time Location Falls Summary'!$E$7),1),0),'Falls Data Entry'!$A$6:$A$423,D70)</f>
        <v>0</v>
      </c>
      <c r="F70" s="82" t="str">
        <f>IFERROR(E70/($E$66+$E$70+$E$74+$E$78+$E$84+$E$88+$E$92+$E$98+$E$102+$E$106)," ")</f>
        <v xml:space="preserve"> </v>
      </c>
      <c r="G70" s="22">
        <f>COUNTIFS('Falls Data Entry'!$H$6:$H$423,"&lt;&gt;"&amp;" ",'Falls Data Entry'!$M$6:$M$423,"="&amp;"10-11:59am",'Falls Data Entry'!$H$6:$H$423,"&gt;="&amp;DATE(YEAR(VALUE('Time Location Falls Summary'!$E$8)),1,1),'Falls Data Entry'!$H$6:$H$423,"&lt;="&amp;DATE(YEAR(VALUE('Time Location Falls Summary'!$E$8)),12,31),'Falls Data Entry'!$A$6:$A$423,D70)</f>
        <v>0</v>
      </c>
      <c r="H70" s="82" t="str">
        <f>IFERROR(G70/($G$66+$G$70+$G$74+$G$78+$G$84+$G$88+$G$92+$G$98+$G$102+$G$106)," ")</f>
        <v xml:space="preserve"> </v>
      </c>
    </row>
    <row r="71" spans="3:8" ht="17.25" x14ac:dyDescent="0.3">
      <c r="C71" s="83"/>
      <c r="D71" s="84" t="str">
        <f>IF(ISNONTEXT('Falls Summary'!$G$5),"",'Falls Summary'!$G$5)</f>
        <v>Unit 3</v>
      </c>
      <c r="E71" s="22">
        <f>COUNTIFS('Falls Data Entry'!$H$6:$H$423,"&lt;&gt;"&amp;" ",'Falls Data Entry'!$M$6:$M$423,"="&amp;"10-11:59am",'Falls Data Entry'!$H$6:$H$423,"&gt;="&amp;DATE(YEAR('Time Location Falls Summary'!$E$7),MONTH('Time Location Falls Summary'!$E$7),1),'Falls Data Entry'!$H$6:$H$423,"&lt;="&amp;EOMONTH(DATE(YEAR('Time Location Falls Summary'!$E$7),MONTH('Time Location Falls Summary'!$E$7),1),0),'Falls Data Entry'!$A$6:$A$423,D71)</f>
        <v>0</v>
      </c>
      <c r="F71" s="82">
        <f t="shared" ref="F71" si="1">IFERROR(E71/(E71+E75+E79+E83+E89+E93+E97+E103+E107+E111)," ")</f>
        <v>0</v>
      </c>
      <c r="G71" s="22">
        <f>COUNTIFS('Falls Data Entry'!$H$6:$H$423,"&lt;&gt;"&amp;" ",'Falls Data Entry'!$M$6:$M$423,"="&amp;"10-11:59am",'Falls Data Entry'!$H$6:$H$423,"&gt;="&amp;DATE(YEAR(VALUE('Time Location Falls Summary'!$E$8)),1,1),'Falls Data Entry'!$H$6:$H$423,"&lt;="&amp;DATE(YEAR(VALUE('Time Location Falls Summary'!$E$8)),12,31),'Falls Data Entry'!$A$6:$A$423,D71)</f>
        <v>0</v>
      </c>
      <c r="H71" s="82" t="str">
        <f>IFERROR(G71/($G$67+$G$71+$G$75+$G$79+$G$85+$G$89+$G$93+$G$99+$G$103+$G$107)," ")</f>
        <v xml:space="preserve"> </v>
      </c>
    </row>
    <row r="72" spans="3:8" ht="17.25" x14ac:dyDescent="0.3">
      <c r="C72" s="129" t="s">
        <v>56</v>
      </c>
      <c r="D72" s="131" t="s">
        <v>3</v>
      </c>
      <c r="E72" s="131">
        <f>COUNTIFS('Falls Data Entry'!$H$6:$H$423,"&lt;&gt;"&amp;" ",'Falls Data Entry'!$M$6:$M$423,"="&amp;"12-1:29pm",'Falls Data Entry'!$H$6:$H$423,"&gt;="&amp;DATE(YEAR('Time Location Falls Summary'!$E$7),MONTH('Time Location Falls Summary'!$E$7),1),'Falls Data Entry'!$H$6:$H$423,"&lt;="&amp;EOMONTH(DATE(YEAR('Time Location Falls Summary'!$E$7),MONTH('Time Location Falls Summary'!$E$7),1),0))</f>
        <v>0</v>
      </c>
      <c r="F72" s="131" t="str">
        <f>IFERROR(E72/($E$64+$E$68+$E$72+$E$76+$E$82+$E$86+$E$90+$E$96+$E$100+$E$104)," ")</f>
        <v xml:space="preserve"> </v>
      </c>
      <c r="G72" s="131">
        <f>COUNTIFS('Falls Data Entry'!$H$6:$H$423,"&lt;&gt;"&amp;" ",'Falls Data Entry'!$M$6:$M$423,"="&amp;"12-1:29pm",'Falls Data Entry'!$H$6:$H$423,"&gt;="&amp;DATE(YEAR(VALUE('Time Location Falls Summary'!$E$8)),1,1),'Falls Data Entry'!$H$6:$H$423,"&lt;="&amp;DATE(YEAR(VALUE('Time Location Falls Summary'!$E$8)),12,31))</f>
        <v>0</v>
      </c>
      <c r="H72" s="131" t="str">
        <f>IFERROR(G72/($G$64+$G$68+$G$72+$G$76+$G$82+$G$86+$G$90+$G$96+$G$100+$G$104)," ")</f>
        <v xml:space="preserve"> </v>
      </c>
    </row>
    <row r="73" spans="3:8" ht="17.25" x14ac:dyDescent="0.3">
      <c r="C73" s="83"/>
      <c r="D73" s="84" t="str">
        <f>IF(ISNONTEXT('Falls Summary'!$E$5),"",'Falls Summary'!$E$5)</f>
        <v>Unit 1</v>
      </c>
      <c r="E73" s="22">
        <f>COUNTIFS('Falls Data Entry'!$H$6:$H$423,"&lt;&gt;"&amp;" ",'Falls Data Entry'!$M$6:$M$423,"="&amp;"12-1:29pm",'Falls Data Entry'!$H$6:$H$423,"&gt;="&amp;DATE(YEAR('Time Location Falls Summary'!$E$7),MONTH('Time Location Falls Summary'!$E$7),1),'Falls Data Entry'!$H$6:$H$423,"&lt;="&amp;EOMONTH(DATE(YEAR('Time Location Falls Summary'!$E$7),MONTH('Time Location Falls Summary'!$E$7),1),0),'Falls Data Entry'!$A$6:$A$423,D73)</f>
        <v>0</v>
      </c>
      <c r="F73" s="82" t="str">
        <f>IFERROR(E73/($E$65+$E$69+$E$73+$E$77+$E$83+$E$87+$E$91+$E$97+$E$101+$E$105)," ")</f>
        <v xml:space="preserve"> </v>
      </c>
      <c r="G73" s="22">
        <f>COUNTIFS('Falls Data Entry'!$H$6:$H$423,"&lt;&gt;"&amp;" ",'Falls Data Entry'!$M$6:$M$423,"="&amp;"12-1:29pm",'Falls Data Entry'!$H$6:$H$423,"&gt;="&amp;DATE(YEAR(VALUE('Time Location Falls Summary'!$E$8)),1,1),'Falls Data Entry'!$H$6:$H$423,"&lt;="&amp;DATE(YEAR(VALUE('Time Location Falls Summary'!$E$8)),12,31),'Falls Data Entry'!$A$6:$A$423,D73)</f>
        <v>0</v>
      </c>
      <c r="H73" s="82" t="str">
        <f>IFERROR(G73/($G$65+$G$69+$G$73+$G$77+$G$83+$G$87+$G$91+$G$97+$G$101+$G$105)," ")</f>
        <v xml:space="preserve"> </v>
      </c>
    </row>
    <row r="74" spans="3:8" ht="17.25" x14ac:dyDescent="0.3">
      <c r="C74" s="83"/>
      <c r="D74" s="84" t="str">
        <f>IF(ISNONTEXT('Falls Summary'!$F$5),"",'Falls Summary'!$F$5)</f>
        <v>Unit 2</v>
      </c>
      <c r="E74" s="22">
        <f>COUNTIFS('Falls Data Entry'!$H$6:$H$423,"&lt;&gt;"&amp;" ",'Falls Data Entry'!$M$6:$M$423,"="&amp;"12-1:29pm",'Falls Data Entry'!$H$6:$H$423,"&gt;="&amp;DATE(YEAR('Time Location Falls Summary'!$E$7),MONTH('Time Location Falls Summary'!$E$7),1),'Falls Data Entry'!$H$6:$H$423,"&lt;="&amp;EOMONTH(DATE(YEAR('Time Location Falls Summary'!$E$7),MONTH('Time Location Falls Summary'!$E$7),1),0),'Falls Data Entry'!$A$6:$A$423,D74)</f>
        <v>0</v>
      </c>
      <c r="F74" s="82" t="str">
        <f>IFERROR(E74/($E$66+$E$70+$E$74+$E$78+$E$84+$E$88+$E$92+$E$98+$E$102+$E$106)," ")</f>
        <v xml:space="preserve"> </v>
      </c>
      <c r="G74" s="22">
        <f>COUNTIFS('Falls Data Entry'!$H$6:$H$423,"&lt;&gt;"&amp;" ",'Falls Data Entry'!$M$6:$M$423,"="&amp;"12-1:29pm",'Falls Data Entry'!$H$6:$H$423,"&gt;="&amp;DATE(YEAR(VALUE('Time Location Falls Summary'!$E$8)),1,1),'Falls Data Entry'!$H$6:$H$423,"&lt;="&amp;DATE(YEAR(VALUE('Time Location Falls Summary'!$E$8)),12,31),'Falls Data Entry'!$A$6:$A$423,D74)</f>
        <v>0</v>
      </c>
      <c r="H74" s="82" t="str">
        <f>IFERROR(G74/($G$66+$G$70+$G$74+$G$78+$G$84+$G$88+$G$92+$G$98+$G$102+$G$106)," ")</f>
        <v xml:space="preserve"> </v>
      </c>
    </row>
    <row r="75" spans="3:8" ht="17.25" x14ac:dyDescent="0.3">
      <c r="C75" s="94"/>
      <c r="D75" s="84" t="str">
        <f>IF(ISNONTEXT('Falls Summary'!$G$5),"",'Falls Summary'!$G$5)</f>
        <v>Unit 3</v>
      </c>
      <c r="E75" s="22">
        <f>COUNTIFS('Falls Data Entry'!$H$6:$H$423,"&lt;&gt;"&amp;" ",'Falls Data Entry'!$M$6:$M$423,"="&amp;"12-1:29pm",'Falls Data Entry'!$H$6:$H$423,"&gt;="&amp;DATE(YEAR('Time Location Falls Summary'!$E$7),MONTH('Time Location Falls Summary'!$E$7),1),'Falls Data Entry'!$H$6:$H$423,"&lt;="&amp;EOMONTH(DATE(YEAR('Time Location Falls Summary'!$E$7),MONTH('Time Location Falls Summary'!$E$7),1),0),'Falls Data Entry'!$A$6:$A$423,D75)</f>
        <v>0</v>
      </c>
      <c r="F75" s="82">
        <f t="shared" ref="F75" si="2">IFERROR(E75/(E75+E79+E83+E87+E93+E97+E101+E107+E111+E115)," ")</f>
        <v>0</v>
      </c>
      <c r="G75" s="22">
        <f>COUNTIFS('Falls Data Entry'!$H$6:$H$423,"&lt;&gt;"&amp;" ",'Falls Data Entry'!$M$6:$M$423,"="&amp;"12-1:29pm",'Falls Data Entry'!$H$6:$H$423,"&gt;="&amp;DATE(YEAR(VALUE('Time Location Falls Summary'!$E$8)),1,1),'Falls Data Entry'!$H$6:$H$423,"&lt;="&amp;DATE(YEAR(VALUE('Time Location Falls Summary'!$E$8)),12,31),'Falls Data Entry'!$A$6:$A$423,D75)</f>
        <v>0</v>
      </c>
      <c r="H75" s="82" t="str">
        <f>IFERROR(G75/($G$67+$G$71+$G$75+$G$79+$G$85+$G$89+$G$93+$G$99+$G$103+$G$107)," ")</f>
        <v xml:space="preserve"> </v>
      </c>
    </row>
    <row r="76" spans="3:8" ht="17.25" x14ac:dyDescent="0.3">
      <c r="C76" s="129" t="s">
        <v>57</v>
      </c>
      <c r="D76" s="131" t="s">
        <v>3</v>
      </c>
      <c r="E76" s="131">
        <f>COUNTIFS('Falls Data Entry'!$H$6:$H$423,"&lt;&gt;"&amp;" ",'Falls Data Entry'!$M$6:$M$423,"="&amp;"1:30-2:59pm",'Falls Data Entry'!$H$6:$H$423,"&gt;="&amp;DATE(YEAR('Time Location Falls Summary'!$E$7),MONTH('Time Location Falls Summary'!$E$7),1),'Falls Data Entry'!$H$6:$H$423,"&lt;="&amp;EOMONTH(DATE(YEAR('Time Location Falls Summary'!$E$7),MONTH('Time Location Falls Summary'!$E$7),1),0))</f>
        <v>0</v>
      </c>
      <c r="F76" s="131" t="str">
        <f>IFERROR(E76/($E$64+$E$68+$E$72+$E$76+$E$82+$E$86+$E$90+$E$96+$E$100+$E$104)," ")</f>
        <v xml:space="preserve"> </v>
      </c>
      <c r="G76" s="131">
        <f>COUNTIFS('Falls Data Entry'!$H$6:$H$423,"&lt;&gt;"&amp;" ",'Falls Data Entry'!$M$6:$M$423,"="&amp;"1:30-2:59pm",'Falls Data Entry'!$H$6:$H$423,"&gt;="&amp;DATE(YEAR(VALUE('Time Location Falls Summary'!$E$8)),1,1),'Falls Data Entry'!$H$6:$H$423,"&lt;="&amp;DATE(YEAR(VALUE('Time Location Falls Summary'!$E$8)),12,31))</f>
        <v>0</v>
      </c>
      <c r="H76" s="131" t="str">
        <f>IFERROR(G76/($G$64+$G$68+$G$72+$G$76+$G$82+$G$86+$G$90+$G$96+$G$100+$G$104)," ")</f>
        <v xml:space="preserve"> </v>
      </c>
    </row>
    <row r="77" spans="3:8" ht="17.25" x14ac:dyDescent="0.3">
      <c r="C77" s="83"/>
      <c r="D77" s="84" t="str">
        <f>IF(ISNONTEXT('Falls Summary'!$E$5),"",'Falls Summary'!$E$5)</f>
        <v>Unit 1</v>
      </c>
      <c r="E77" s="22">
        <f>COUNTIFS('Falls Data Entry'!$H$6:$H$423,"&lt;&gt;"&amp;" ",'Falls Data Entry'!$M$6:$M$423,"="&amp;"1:30-2:59pm",'Falls Data Entry'!$H$6:$H$423,"&gt;="&amp;DATE(YEAR('Time Location Falls Summary'!$E$7),MONTH('Time Location Falls Summary'!$E$7),1),'Falls Data Entry'!$H$6:$H$423,"&lt;="&amp;EOMONTH(DATE(YEAR('Time Location Falls Summary'!$E$7),MONTH('Time Location Falls Summary'!$E$7),1),0),'Falls Data Entry'!$A$6:$A$423,D77)</f>
        <v>0</v>
      </c>
      <c r="F77" s="82" t="str">
        <f>IFERROR(E77/($E$65+$E$69+$E$73+$E$77+$E$83+$E$87+$E$91+$E$97+$E$101+$E$105)," ")</f>
        <v xml:space="preserve"> </v>
      </c>
      <c r="G77" s="22">
        <f>COUNTIFS('Falls Data Entry'!$H$6:$H$423,"&lt;&gt;"&amp;" ",'Falls Data Entry'!$M$6:$M$423,"="&amp;"1:30-2:59pm",'Falls Data Entry'!$H$6:$H$423,"&gt;="&amp;DATE(YEAR(VALUE('Time Location Falls Summary'!$E$8)),1,1),'Falls Data Entry'!$H$6:$H$423,"&lt;="&amp;DATE(YEAR(VALUE('Time Location Falls Summary'!$E$8)),12,31),'Falls Data Entry'!$A$6:$A$423,D77)</f>
        <v>0</v>
      </c>
      <c r="H77" s="82" t="str">
        <f>IFERROR(G77/($G$65+$G$69+$G$73+$G$77+$G$83+$G$87+$G$91+$G$97+$G$101+$G$105)," ")</f>
        <v xml:space="preserve"> </v>
      </c>
    </row>
    <row r="78" spans="3:8" ht="17.25" x14ac:dyDescent="0.3">
      <c r="C78" s="83"/>
      <c r="D78" s="84" t="str">
        <f>IF(ISNONTEXT('Falls Summary'!$F$5),"",'Falls Summary'!$F$5)</f>
        <v>Unit 2</v>
      </c>
      <c r="E78" s="22">
        <f>COUNTIFS('Falls Data Entry'!$H$6:$H$423,"&lt;&gt;"&amp;" ",'Falls Data Entry'!$M$6:$M$423,"="&amp;"1:30-2:59pm",'Falls Data Entry'!$H$6:$H$423,"&gt;="&amp;DATE(YEAR('Time Location Falls Summary'!$E$7),MONTH('Time Location Falls Summary'!$E$7),1),'Falls Data Entry'!$H$6:$H$423,"&lt;="&amp;EOMONTH(DATE(YEAR('Time Location Falls Summary'!$E$7),MONTH('Time Location Falls Summary'!$E$7),1),0),'Falls Data Entry'!$A$6:$A$423,D78)</f>
        <v>0</v>
      </c>
      <c r="F78" s="82" t="str">
        <f>IFERROR(E78/($E$66+$E$70+$E$74+$E$78+$E$84+$E$88+$E$92+$E$98+$E$102+$E$106)," ")</f>
        <v xml:space="preserve"> </v>
      </c>
      <c r="G78" s="22">
        <f>COUNTIFS('Falls Data Entry'!$H$6:$H$423,"&lt;&gt;"&amp;" ",'Falls Data Entry'!$M$6:$M$423,"="&amp;"1:30-2:59pm",'Falls Data Entry'!$H$6:$H$423,"&gt;="&amp;DATE(YEAR(VALUE('Time Location Falls Summary'!$E$8)),1,1),'Falls Data Entry'!$H$6:$H$423,"&lt;="&amp;DATE(YEAR(VALUE('Time Location Falls Summary'!$E$8)),12,31),'Falls Data Entry'!$A$6:$A$423,D78)</f>
        <v>0</v>
      </c>
      <c r="H78" s="82" t="str">
        <f>IFERROR(G78/($G$66+$G$70+$G$74+$G$78+$G$84+$G$88+$G$92+$G$98+$G$102+$G$106)," ")</f>
        <v xml:space="preserve"> </v>
      </c>
    </row>
    <row r="79" spans="3:8" ht="17.25" x14ac:dyDescent="0.3">
      <c r="C79" s="94"/>
      <c r="D79" s="84" t="str">
        <f>IF(ISNONTEXT('Falls Summary'!$G$5),"",'Falls Summary'!$G$5)</f>
        <v>Unit 3</v>
      </c>
      <c r="E79" s="22">
        <f>COUNTIFS('Falls Data Entry'!$H$6:$H$423,"&lt;&gt;"&amp;" ",'Falls Data Entry'!$M$6:$M$423,"="&amp;"1:30-2:59pm",'Falls Data Entry'!$H$6:$H$423,"&gt;="&amp;DATE(YEAR('Time Location Falls Summary'!$E$7),MONTH('Time Location Falls Summary'!$E$7),1),'Falls Data Entry'!$H$6:$H$423,"&lt;="&amp;EOMONTH(DATE(YEAR('Time Location Falls Summary'!$E$7),MONTH('Time Location Falls Summary'!$E$7),1),0),'Falls Data Entry'!$A$6:$A$423,D79)</f>
        <v>0</v>
      </c>
      <c r="F79" s="82">
        <f t="shared" ref="F79" si="3">IFERROR(E79/(E79+E83+E87+E91+E97+E101+E105+E111+E115+E119)," ")</f>
        <v>0</v>
      </c>
      <c r="G79" s="22">
        <f>COUNTIFS('Falls Data Entry'!$H$6:$H$423,"&lt;&gt;"&amp;" ",'Falls Data Entry'!$M$6:$M$423,"="&amp;"1:30-2:59pm",'Falls Data Entry'!$H$6:$H$423,"&gt;="&amp;DATE(YEAR(VALUE('Time Location Falls Summary'!$E$8)),1,1),'Falls Data Entry'!$H$6:$H$423,"&lt;="&amp;DATE(YEAR(VALUE('Time Location Falls Summary'!$E$8)),12,31),'Falls Data Entry'!$A$6:$A$423,D79)</f>
        <v>0</v>
      </c>
      <c r="H79" s="82" t="str">
        <f>IFERROR(G79/($G$67+$G$71+$G$75+$G$79+$G$85+$G$89+$G$93+$G$99+$G$103+$G$107)," ")</f>
        <v xml:space="preserve"> </v>
      </c>
    </row>
    <row r="81" spans="3:8" ht="17.25" x14ac:dyDescent="0.3">
      <c r="C81" s="109"/>
      <c r="D81" s="110"/>
      <c r="E81" s="63" t="s">
        <v>52</v>
      </c>
      <c r="F81" s="64" t="s">
        <v>53</v>
      </c>
      <c r="G81" s="63" t="s">
        <v>52</v>
      </c>
      <c r="H81" s="64" t="s">
        <v>53</v>
      </c>
    </row>
    <row r="82" spans="3:8" ht="17.25" x14ac:dyDescent="0.3">
      <c r="C82" s="129" t="s">
        <v>58</v>
      </c>
      <c r="D82" s="131" t="s">
        <v>3</v>
      </c>
      <c r="E82" s="131">
        <f>COUNTIFS('Falls Data Entry'!$H$6:$H$423,"&lt;&gt;"&amp;" ",'Falls Data Entry'!$M$6:$M$423,"="&amp;"3-4:59pm",'Falls Data Entry'!$H$6:$H$423,"&gt;="&amp;DATE(YEAR('Time Location Falls Summary'!$E$7),MONTH('Time Location Falls Summary'!$E$7),1),'Falls Data Entry'!$H$6:$H$423,"&lt;="&amp;EOMONTH(DATE(YEAR('Time Location Falls Summary'!$E$7),MONTH('Time Location Falls Summary'!$E$7),1),0))</f>
        <v>0</v>
      </c>
      <c r="F82" s="131" t="str">
        <f>IFERROR(E82/($E$64+$E$68+$E$72+$E$76+$E$82+$E$86+$E$90+$E$96+$E$100+$E$104)," ")</f>
        <v xml:space="preserve"> </v>
      </c>
      <c r="G82" s="131">
        <f>COUNTIFS('Falls Data Entry'!$H$6:$H$423,"&lt;&gt;"&amp;" ",'Falls Data Entry'!$M$6:$M$423,"="&amp;"3-4:59pm",'Falls Data Entry'!$H$6:$H$423,"&gt;="&amp;DATE(YEAR(VALUE('Time Location Falls Summary'!$E$8)),1,1),'Falls Data Entry'!$H$6:$H$423,"&lt;="&amp;DATE(YEAR(VALUE('Time Location Falls Summary'!$E$8)),12,31))</f>
        <v>0</v>
      </c>
      <c r="H82" s="131" t="str">
        <f>IFERROR(G82/($G$64+$G$68+$G$72+$G$76+$G$82+$G$86+$G$90+$G$96+$G$100+$G$104)," ")</f>
        <v xml:space="preserve"> </v>
      </c>
    </row>
    <row r="83" spans="3:8" ht="17.25" x14ac:dyDescent="0.3">
      <c r="C83" s="83"/>
      <c r="D83" s="84" t="str">
        <f>IF(ISNONTEXT('Falls Summary'!$E$5),"",'Falls Summary'!$E$5)</f>
        <v>Unit 1</v>
      </c>
      <c r="E83" s="22">
        <f>COUNTIFS('Falls Data Entry'!$H$6:$H$423,"&lt;&gt;"&amp;" ",'Falls Data Entry'!$M$6:$M$423,"="&amp;"3-4:59pm",'Falls Data Entry'!$H$6:$H$423,"&gt;="&amp;DATE(YEAR('Time Location Falls Summary'!$E$7),MONTH('Time Location Falls Summary'!$E$7),1),'Falls Data Entry'!$H$6:$H$423,"&lt;="&amp;EOMONTH(DATE(YEAR('Time Location Falls Summary'!$E$7),MONTH('Time Location Falls Summary'!$E$7),1),0),'Falls Data Entry'!$A$6:$A$423,D83)</f>
        <v>0</v>
      </c>
      <c r="F83" s="82" t="str">
        <f>IFERROR(E83/($E$65+$E$69+$E$73+$E$77+$E$83+$E$87+$E$91+$E$97+$E$101+$E$105)," ")</f>
        <v xml:space="preserve"> </v>
      </c>
      <c r="G83" s="22">
        <f>COUNTIFS('Falls Data Entry'!$H$6:$H$423,"&lt;&gt;"&amp;" ",'Falls Data Entry'!$M$6:$M$423,"="&amp;"3-4:59pm",'Falls Data Entry'!$H$6:$H$423,"&gt;="&amp;DATE(YEAR(VALUE('Time Location Falls Summary'!$E$8)),1,1),'Falls Data Entry'!$H$6:$H$423,"&lt;="&amp;DATE(YEAR(VALUE('Time Location Falls Summary'!$E$8)),12,31),'Falls Data Entry'!$A$6:$A$423,D83)</f>
        <v>0</v>
      </c>
      <c r="H83" s="82" t="str">
        <f>IFERROR(G83/($G$65+$G$69+$G$73+$G$77+$G$83+$G$87+$G$91+$G$97+$G$101+$G$105)," ")</f>
        <v xml:space="preserve"> </v>
      </c>
    </row>
    <row r="84" spans="3:8" ht="17.25" x14ac:dyDescent="0.3">
      <c r="C84" s="83"/>
      <c r="D84" s="84" t="str">
        <f>IF(ISNONTEXT('Falls Summary'!$F$5),"",'Falls Summary'!$F$5)</f>
        <v>Unit 2</v>
      </c>
      <c r="E84" s="22">
        <f>COUNTIFS('Falls Data Entry'!$H$6:$H$423,"&lt;&gt;"&amp;" ",'Falls Data Entry'!$M$6:$M$423,"="&amp;"3-4:59pm",'Falls Data Entry'!$H$6:$H$423,"&gt;="&amp;DATE(YEAR('Time Location Falls Summary'!$E$7),MONTH('Time Location Falls Summary'!$E$7),1),'Falls Data Entry'!$H$6:$H$423,"&lt;="&amp;EOMONTH(DATE(YEAR('Time Location Falls Summary'!$E$7),MONTH('Time Location Falls Summary'!$E$7),1),0),'Falls Data Entry'!$A$6:$A$423,D84)</f>
        <v>0</v>
      </c>
      <c r="F84" s="82" t="str">
        <f>IFERROR(E84/($E$66+$E$70+$E$74+$E$78+$E$84+$E$88+$E$92+$E$98+$E$102+$E$106)," ")</f>
        <v xml:space="preserve"> </v>
      </c>
      <c r="G84" s="22">
        <f>COUNTIFS('Falls Data Entry'!$H$6:$H$423,"&lt;&gt;"&amp;" ",'Falls Data Entry'!$M$6:$M$423,"="&amp;"3-4:59pm",'Falls Data Entry'!$H$6:$H$423,"&gt;="&amp;DATE(YEAR(VALUE('Time Location Falls Summary'!$E$8)),1,1),'Falls Data Entry'!$H$6:$H$423,"&lt;="&amp;DATE(YEAR(VALUE('Time Location Falls Summary'!$E$8)),12,31),'Falls Data Entry'!$A$6:$A$423,D84)</f>
        <v>0</v>
      </c>
      <c r="H84" s="82" t="str">
        <f>IFERROR(G84/($G$66+$G$70+$G$74+$G$78+$G$84+$G$88+$G$92+$G$98+$G$102+$G$106)," ")</f>
        <v xml:space="preserve"> </v>
      </c>
    </row>
    <row r="85" spans="3:8" ht="17.25" x14ac:dyDescent="0.3">
      <c r="C85" s="83"/>
      <c r="D85" s="84" t="str">
        <f>IF(ISNONTEXT('Falls Summary'!$G$5),"",'Falls Summary'!$G$5)</f>
        <v>Unit 3</v>
      </c>
      <c r="E85" s="22">
        <f>COUNTIFS('Falls Data Entry'!$H$6:$H$423,"&lt;&gt;"&amp;" ",'Falls Data Entry'!$M$6:$M$423,"="&amp;"3-4:59pm",'Falls Data Entry'!$H$6:$H$423,"&gt;="&amp;DATE(YEAR('Time Location Falls Summary'!$E$7),MONTH('Time Location Falls Summary'!$E$7),1),'Falls Data Entry'!$H$6:$H$423,"&lt;="&amp;EOMONTH(DATE(YEAR('Time Location Falls Summary'!$E$7),MONTH('Time Location Falls Summary'!$E$7),1),0),'Falls Data Entry'!$A$6:$A$423,D85)</f>
        <v>0</v>
      </c>
      <c r="F85" s="82">
        <f t="shared" ref="F85" si="4">IFERROR(E85/(E85+E89+E93+E97+E103+E107+E111+E117+E121+E125)," ")</f>
        <v>0</v>
      </c>
      <c r="G85" s="22">
        <f>COUNTIFS('Falls Data Entry'!$H$6:$H$423,"&lt;&gt;"&amp;" ",'Falls Data Entry'!$M$6:$M$423,"="&amp;"3-4:59pm",'Falls Data Entry'!$H$6:$H$423,"&gt;="&amp;DATE(YEAR(VALUE('Time Location Falls Summary'!$E$8)),1,1),'Falls Data Entry'!$H$6:$H$423,"&lt;="&amp;DATE(YEAR(VALUE('Time Location Falls Summary'!$E$8)),12,31),'Falls Data Entry'!$A$6:$A$423,D85)</f>
        <v>0</v>
      </c>
      <c r="H85" s="82" t="str">
        <f>IFERROR(G85/($G$67+$G$71+$G$75+$G$79+$G$85+$G$89+$G$93+$G$99+$G$103+$G$107)," ")</f>
        <v xml:space="preserve"> </v>
      </c>
    </row>
    <row r="86" spans="3:8" ht="17.25" x14ac:dyDescent="0.3">
      <c r="C86" s="129" t="s">
        <v>59</v>
      </c>
      <c r="D86" s="131" t="s">
        <v>3</v>
      </c>
      <c r="E86" s="131">
        <f>COUNTIFS('Falls Data Entry'!$H$6:$H$423,"&lt;&gt;"&amp;" ",'Falls Data Entry'!$M$6:$M$423,"="&amp;"5-7:59pm",'Falls Data Entry'!$H$6:$H$423,"&gt;="&amp;DATE(YEAR('Time Location Falls Summary'!$E$7),MONTH('Time Location Falls Summary'!$E$7),1),'Falls Data Entry'!$H$6:$H$423,"&lt;="&amp;EOMONTH(DATE(YEAR('Time Location Falls Summary'!$E$7),MONTH('Time Location Falls Summary'!$E$7),1),0))</f>
        <v>0</v>
      </c>
      <c r="F86" s="131" t="str">
        <f>IFERROR(E86/($E$64+$E$68+$E$72+$E$76+$E$82+$E$86+$E$90+$E$96+$E$100+$E$104)," ")</f>
        <v xml:space="preserve"> </v>
      </c>
      <c r="G86" s="131">
        <f>COUNTIFS('Falls Data Entry'!$H$6:$H$423,"&lt;&gt;"&amp;" ",'Falls Data Entry'!$M$6:$M$423,"="&amp;"5-7:59pm",'Falls Data Entry'!$H$6:$H$423,"&gt;="&amp;DATE(YEAR(VALUE('Time Location Falls Summary'!$E$8)),1,1),'Falls Data Entry'!$H$6:$H$423,"&lt;="&amp;DATE(YEAR(VALUE('Time Location Falls Summary'!$E$8)),12,31))</f>
        <v>0</v>
      </c>
      <c r="H86" s="131" t="str">
        <f>IFERROR(G86/($G$64+$G$68+$G$72+$G$76+$G$82+$G$86+$G$90+$G$96+$G$100+$G$104)," ")</f>
        <v xml:space="preserve"> </v>
      </c>
    </row>
    <row r="87" spans="3:8" ht="17.25" x14ac:dyDescent="0.3">
      <c r="C87" s="83"/>
      <c r="D87" s="84" t="str">
        <f>IF(ISNONTEXT('Falls Summary'!$E$5),"",'Falls Summary'!$E$5)</f>
        <v>Unit 1</v>
      </c>
      <c r="E87" s="22">
        <f>COUNTIFS('Falls Data Entry'!$H$6:$H$423,"&lt;&gt;"&amp;" ",'Falls Data Entry'!$M$6:$M$423,"="&amp;"5-7:59pm",'Falls Data Entry'!$H$6:$H$423,"&gt;="&amp;DATE(YEAR('Time Location Falls Summary'!$E$7),MONTH('Time Location Falls Summary'!$E$7),1),'Falls Data Entry'!$H$6:$H$423,"&lt;="&amp;EOMONTH(DATE(YEAR('Time Location Falls Summary'!$E$7),MONTH('Time Location Falls Summary'!$E$7),1),0),'Falls Data Entry'!$A$6:$A$423,D87)</f>
        <v>0</v>
      </c>
      <c r="F87" s="82" t="str">
        <f>IFERROR(E87/($E$65+$E$69+$E$73+$E$77+$E$83+$E$87+$E$91+$E$97+$E$101+$E$105)," ")</f>
        <v xml:space="preserve"> </v>
      </c>
      <c r="G87" s="22">
        <f>COUNTIFS('Falls Data Entry'!$H$6:$H$423,"&lt;&gt;"&amp;" ",'Falls Data Entry'!$M$6:$M$423,"="&amp;"5-7:59pm",'Falls Data Entry'!$H$6:$H$423,"&gt;="&amp;DATE(YEAR(VALUE('Time Location Falls Summary'!$E$8)),1,1),'Falls Data Entry'!$H$6:$H$423,"&lt;="&amp;DATE(YEAR(VALUE('Time Location Falls Summary'!$E$8)),12,31),'Falls Data Entry'!$A$6:$A$423,D87)</f>
        <v>0</v>
      </c>
      <c r="H87" s="82" t="str">
        <f>IFERROR(G87/($G$65+$G$69+$G$73+$G$77+$G$83+$G$87+$G$91+$G$97+$G$101+$G$105)," ")</f>
        <v xml:space="preserve"> </v>
      </c>
    </row>
    <row r="88" spans="3:8" ht="17.25" x14ac:dyDescent="0.3">
      <c r="C88" s="83"/>
      <c r="D88" s="84" t="str">
        <f>IF(ISNONTEXT('Falls Summary'!$F$5),"",'Falls Summary'!$F$5)</f>
        <v>Unit 2</v>
      </c>
      <c r="E88" s="22">
        <f>COUNTIFS('Falls Data Entry'!$H$6:$H$423,"&lt;&gt;"&amp;" ",'Falls Data Entry'!$M$6:$M$423,"="&amp;"5-7:59pm",'Falls Data Entry'!$H$6:$H$423,"&gt;="&amp;DATE(YEAR('Time Location Falls Summary'!$E$7),MONTH('Time Location Falls Summary'!$E$7),1),'Falls Data Entry'!$H$6:$H$423,"&lt;="&amp;EOMONTH(DATE(YEAR('Time Location Falls Summary'!$E$7),MONTH('Time Location Falls Summary'!$E$7),1),0),'Falls Data Entry'!$A$6:$A$423,D88)</f>
        <v>0</v>
      </c>
      <c r="F88" s="82" t="str">
        <f>IFERROR(E88/($E$66+$E$70+$E$74+$E$78+$E$84+$E$88+$E$92+$E$98+$E$102+$E$106)," ")</f>
        <v xml:space="preserve"> </v>
      </c>
      <c r="G88" s="22">
        <f>COUNTIFS('Falls Data Entry'!$H$6:$H$423,"&lt;&gt;"&amp;" ",'Falls Data Entry'!$M$6:$M$423,"="&amp;"5-7:59pm",'Falls Data Entry'!$H$6:$H$423,"&gt;="&amp;DATE(YEAR(VALUE('Time Location Falls Summary'!$E$8)),1,1),'Falls Data Entry'!$H$6:$H$423,"&lt;="&amp;DATE(YEAR(VALUE('Time Location Falls Summary'!$E$8)),12,31),'Falls Data Entry'!$A$6:$A$423,D88)</f>
        <v>0</v>
      </c>
      <c r="H88" s="82" t="str">
        <f>IFERROR(G88/($G$66+$G$70+$G$74+$G$78+$G$84+$G$88+$G$92+$G$98+$G$102+$G$106)," ")</f>
        <v xml:space="preserve"> </v>
      </c>
    </row>
    <row r="89" spans="3:8" ht="17.25" x14ac:dyDescent="0.3">
      <c r="C89" s="83"/>
      <c r="D89" s="84" t="str">
        <f>IF(ISNONTEXT('Falls Summary'!$G$5),"",'Falls Summary'!$G$5)</f>
        <v>Unit 3</v>
      </c>
      <c r="E89" s="22">
        <f>COUNTIFS('Falls Data Entry'!$H$6:$H$423,"&lt;&gt;"&amp;" ",'Falls Data Entry'!$M$6:$M$423,"="&amp;"5-7:59pm",'Falls Data Entry'!$H$6:$H$423,"&gt;="&amp;DATE(YEAR('Time Location Falls Summary'!$E$7),MONTH('Time Location Falls Summary'!$E$7),1),'Falls Data Entry'!$H$6:$H$423,"&lt;="&amp;EOMONTH(DATE(YEAR('Time Location Falls Summary'!$E$7),MONTH('Time Location Falls Summary'!$E$7),1),0),'Falls Data Entry'!$A$6:$A$423,D89)</f>
        <v>0</v>
      </c>
      <c r="F89" s="82">
        <f t="shared" ref="F89" si="5">IFERROR(E89/(E89+E93+E97+E101+E107+E111+E115+E121+E125+E129)," ")</f>
        <v>0</v>
      </c>
      <c r="G89" s="22">
        <f>COUNTIFS('Falls Data Entry'!$H$6:$H$423,"&lt;&gt;"&amp;" ",'Falls Data Entry'!$M$6:$M$423,"="&amp;"5-7:59pm",'Falls Data Entry'!$H$6:$H$423,"&gt;="&amp;DATE(YEAR(VALUE('Time Location Falls Summary'!$E$8)),1,1),'Falls Data Entry'!$H$6:$H$423,"&lt;="&amp;DATE(YEAR(VALUE('Time Location Falls Summary'!$E$8)),12,31),'Falls Data Entry'!$A$6:$A$423,D89)</f>
        <v>0</v>
      </c>
      <c r="H89" s="82" t="str">
        <f>IFERROR(G89/($G$67+$G$71+$G$75+$G$79+$G$85+$G$89+$G$93+$G$99+$G$103+$G$107)," ")</f>
        <v xml:space="preserve"> </v>
      </c>
    </row>
    <row r="90" spans="3:8" ht="17.25" x14ac:dyDescent="0.3">
      <c r="C90" s="129" t="s">
        <v>60</v>
      </c>
      <c r="D90" s="131" t="s">
        <v>3</v>
      </c>
      <c r="E90" s="131">
        <f>COUNTIFS('Falls Data Entry'!$H$6:$H$423,"&lt;&gt;"&amp;" ",'Falls Data Entry'!$M$6:$M$423,"="&amp;"8-10:59pm",'Falls Data Entry'!$H$6:$H$423,"&gt;="&amp;DATE(YEAR('Time Location Falls Summary'!$E$7),MONTH('Time Location Falls Summary'!$E$7),1),'Falls Data Entry'!$H$6:$H$423,"&lt;="&amp;EOMONTH(DATE(YEAR('Time Location Falls Summary'!$E$7),MONTH('Time Location Falls Summary'!$E$7),1),0))</f>
        <v>0</v>
      </c>
      <c r="F90" s="131" t="str">
        <f>IFERROR(E90/($E$64+$E$68+$E$72+$E$76+$E$82+$E$86+$E$90+$E$96+$E$100+$E$104)," ")</f>
        <v xml:space="preserve"> </v>
      </c>
      <c r="G90" s="131">
        <f>COUNTIFS('Falls Data Entry'!$H$6:$H$423,"&lt;&gt;"&amp;" ",'Falls Data Entry'!$M$6:$M$423,"="&amp;"8-10:59pm",'Falls Data Entry'!$H$6:$H$423,"&gt;="&amp;DATE(YEAR(VALUE('Time Location Falls Summary'!$E$8)),1,1),'Falls Data Entry'!$H$6:$H$423,"&lt;="&amp;DATE(YEAR(VALUE('Time Location Falls Summary'!$E$8)),12,31))</f>
        <v>0</v>
      </c>
      <c r="H90" s="131" t="str">
        <f>IFERROR(G90/($G$64+$G$68+$G$72+$G$76+$G$82+$G$86+$G$90+$G$96+$G$100+$G$104)," ")</f>
        <v xml:space="preserve"> </v>
      </c>
    </row>
    <row r="91" spans="3:8" ht="17.25" x14ac:dyDescent="0.3">
      <c r="C91" s="83"/>
      <c r="D91" s="84" t="str">
        <f>IF(ISNONTEXT('Falls Summary'!$E$5),"",'Falls Summary'!$E$5)</f>
        <v>Unit 1</v>
      </c>
      <c r="E91" s="22">
        <f>COUNTIFS('Falls Data Entry'!$H$6:$H$423,"&lt;&gt;"&amp;" ",'Falls Data Entry'!$M$6:$M$423,"="&amp;"8-10:59pm",'Falls Data Entry'!$H$6:$H$423,"&gt;="&amp;DATE(YEAR('Time Location Falls Summary'!$E$7),MONTH('Time Location Falls Summary'!$E$7),1),'Falls Data Entry'!$H$6:$H$423,"&lt;="&amp;EOMONTH(DATE(YEAR('Time Location Falls Summary'!$E$7),MONTH('Time Location Falls Summary'!$E$7),1),0),'Falls Data Entry'!$A$6:$A$423,D91)</f>
        <v>0</v>
      </c>
      <c r="F91" s="82" t="str">
        <f>IFERROR(E91/($E$65+$E$69+$E$73+$E$77+$E$83+$E$87+$E$91+$E$97+$E$101+$E$105)," ")</f>
        <v xml:space="preserve"> </v>
      </c>
      <c r="G91" s="22">
        <f>COUNTIFS('Falls Data Entry'!$H$6:$H$423,"&lt;&gt;"&amp;" ",'Falls Data Entry'!$M$6:$M$423,"="&amp;"8-10:59pm",'Falls Data Entry'!$H$6:$H$423,"&gt;="&amp;DATE(YEAR(VALUE('Time Location Falls Summary'!$E$8)),1,1),'Falls Data Entry'!$H$6:$H$423,"&lt;="&amp;DATE(YEAR(VALUE('Time Location Falls Summary'!$E$8)),12,31),'Falls Data Entry'!$A$6:$A$423,D91)</f>
        <v>0</v>
      </c>
      <c r="H91" s="82" t="str">
        <f>IFERROR(G91/($G$65+$G$69+$G$73+$G$77+$G$83+$G$87+$G$91+$G$97+$G$101+$G$105)," ")</f>
        <v xml:space="preserve"> </v>
      </c>
    </row>
    <row r="92" spans="3:8" ht="17.25" x14ac:dyDescent="0.3">
      <c r="C92" s="83"/>
      <c r="D92" s="84" t="str">
        <f>IF(ISNONTEXT('Falls Summary'!$F$5),"",'Falls Summary'!$F$5)</f>
        <v>Unit 2</v>
      </c>
      <c r="E92" s="22">
        <f>COUNTIFS('Falls Data Entry'!$H$6:$H$423,"&lt;&gt;"&amp;" ",'Falls Data Entry'!$M$6:$M$423,"="&amp;"8-10:59pm",'Falls Data Entry'!$H$6:$H$423,"&gt;="&amp;DATE(YEAR('Time Location Falls Summary'!$E$7),MONTH('Time Location Falls Summary'!$E$7),1),'Falls Data Entry'!$H$6:$H$423,"&lt;="&amp;EOMONTH(DATE(YEAR('Time Location Falls Summary'!$E$7),MONTH('Time Location Falls Summary'!$E$7),1),0),'Falls Data Entry'!$A$6:$A$423,D92)</f>
        <v>0</v>
      </c>
      <c r="F92" s="82" t="str">
        <f>IFERROR(E92/($E$66+$E$70+$E$74+$E$78+$E$84+$E$88+$E$92+$E$98+$E$102+$E$106)," ")</f>
        <v xml:space="preserve"> </v>
      </c>
      <c r="G92" s="22">
        <f>COUNTIFS('Falls Data Entry'!$H$6:$H$423,"&lt;&gt;"&amp;" ",'Falls Data Entry'!$M$6:$M$423,"="&amp;"8-10:59pm",'Falls Data Entry'!$H$6:$H$423,"&gt;="&amp;DATE(YEAR(VALUE('Time Location Falls Summary'!$E$8)),1,1),'Falls Data Entry'!$H$6:$H$423,"&lt;="&amp;DATE(YEAR(VALUE('Time Location Falls Summary'!$E$8)),12,31),'Falls Data Entry'!$A$6:$A$423,D92)</f>
        <v>0</v>
      </c>
      <c r="H92" s="82" t="str">
        <f>IFERROR(G92/($G$66+$G$70+$G$74+$G$78+$G$84+$G$88+$G$92+$G$98+$G$102+$G$106)," ")</f>
        <v xml:space="preserve"> </v>
      </c>
    </row>
    <row r="93" spans="3:8" ht="17.25" x14ac:dyDescent="0.3">
      <c r="C93" s="94"/>
      <c r="D93" s="84" t="str">
        <f>IF(ISNONTEXT('Falls Summary'!$G$5),"",'Falls Summary'!$G$5)</f>
        <v>Unit 3</v>
      </c>
      <c r="E93" s="22">
        <f>COUNTIFS('Falls Data Entry'!$H$6:$H$423,"&lt;&gt;"&amp;" ",'Falls Data Entry'!$M$6:$M$423,"="&amp;"8-10:59pm",'Falls Data Entry'!$H$6:$H$423,"&gt;="&amp;DATE(YEAR('Time Location Falls Summary'!$E$7),MONTH('Time Location Falls Summary'!$E$7),1),'Falls Data Entry'!$H$6:$H$423,"&lt;="&amp;EOMONTH(DATE(YEAR('Time Location Falls Summary'!$E$7),MONTH('Time Location Falls Summary'!$E$7),1),0),'Falls Data Entry'!$A$6:$A$423,D93)</f>
        <v>0</v>
      </c>
      <c r="F93" s="82">
        <f t="shared" ref="F93" si="6">IFERROR(E93/(E93+E97+E101+E105+E111+E115+E119+E125+E129+E133)," ")</f>
        <v>0</v>
      </c>
      <c r="G93" s="22">
        <f>COUNTIFS('Falls Data Entry'!$H$6:$H$423,"&lt;&gt;"&amp;" ",'Falls Data Entry'!$M$6:$M$423,"="&amp;"8-10:59pm",'Falls Data Entry'!$H$6:$H$423,"&gt;="&amp;DATE(YEAR(VALUE('Time Location Falls Summary'!$E$8)),1,1),'Falls Data Entry'!$H$6:$H$423,"&lt;="&amp;DATE(YEAR(VALUE('Time Location Falls Summary'!$E$8)),12,31),'Falls Data Entry'!$A$6:$A$423,D93)</f>
        <v>0</v>
      </c>
      <c r="H93" s="82" t="str">
        <f>IFERROR(G93/($G$67+$G$71+$G$75+$G$79+$G$85+$G$89+$G$93+$G$99+$G$103+$G$107)," ")</f>
        <v xml:space="preserve"> </v>
      </c>
    </row>
    <row r="95" spans="3:8" ht="17.25" x14ac:dyDescent="0.3">
      <c r="C95" s="109"/>
      <c r="D95" s="110"/>
      <c r="E95" s="63" t="s">
        <v>52</v>
      </c>
      <c r="F95" s="64" t="s">
        <v>53</v>
      </c>
      <c r="G95" s="63" t="s">
        <v>52</v>
      </c>
      <c r="H95" s="64" t="s">
        <v>53</v>
      </c>
    </row>
    <row r="96" spans="3:8" ht="17.25" x14ac:dyDescent="0.3">
      <c r="C96" s="129" t="s">
        <v>61</v>
      </c>
      <c r="D96" s="131" t="s">
        <v>3</v>
      </c>
      <c r="E96" s="131">
        <f>COUNTIFS('Falls Data Entry'!$H$6:$H$423,"&lt;&gt;"&amp;" ",'Falls Data Entry'!$M$6:$M$423,"="&amp;"11pm-12:59am",'Falls Data Entry'!$H$6:$H$423,"&gt;="&amp;DATE(YEAR('Time Location Falls Summary'!$E$7),MONTH('Time Location Falls Summary'!$E$7),1),'Falls Data Entry'!$H$6:$H$423,"&lt;="&amp;EOMONTH(DATE(YEAR('Time Location Falls Summary'!$E$7),MONTH('Time Location Falls Summary'!$E$7),1),0))</f>
        <v>0</v>
      </c>
      <c r="F96" s="131" t="str">
        <f>IFERROR(E96/($E$64+$E$68+$E$72+$E$76+$E$82+$E$86+$E$90+$E$96+$E$100+$E$104)," ")</f>
        <v xml:space="preserve"> </v>
      </c>
      <c r="G96" s="131">
        <f>COUNTIFS('Falls Data Entry'!$H$6:$H$423,"&lt;&gt;"&amp;" ",'Falls Data Entry'!$M$6:$M$423,"="&amp;"11pm-12:59am",'Falls Data Entry'!$H$6:$H$423,"&gt;="&amp;DATE(YEAR(VALUE('Time Location Falls Summary'!$E$8)),1,1),'Falls Data Entry'!$H$6:$H$423,"&lt;="&amp;DATE(YEAR(VALUE('Time Location Falls Summary'!$E$8)),12,31))</f>
        <v>0</v>
      </c>
      <c r="H96" s="131" t="str">
        <f>IFERROR(G96/($G$64+$G$68+$G$72+$G$76+$G$82+$G$86+$G$90+$G$96+$G$100+$G$104)," ")</f>
        <v xml:space="preserve"> </v>
      </c>
    </row>
    <row r="97" spans="3:24" ht="17.25" x14ac:dyDescent="0.3">
      <c r="C97" s="83"/>
      <c r="D97" s="84" t="str">
        <f>IF(ISNONTEXT('Falls Summary'!$E$5),"",'Falls Summary'!$E$5)</f>
        <v>Unit 1</v>
      </c>
      <c r="E97" s="22">
        <f>COUNTIFS('Falls Data Entry'!$H$6:$H$423,"&lt;&gt;"&amp;" ",'Falls Data Entry'!$M$6:$M$423,"="&amp;"11pm-12:59am",'Falls Data Entry'!$H$6:$H$423,"&gt;="&amp;DATE(YEAR('Time Location Falls Summary'!$E$7),MONTH('Time Location Falls Summary'!$E$7),1),'Falls Data Entry'!$H$6:$H$423,"&lt;="&amp;EOMONTH(DATE(YEAR('Time Location Falls Summary'!$E$7),MONTH('Time Location Falls Summary'!$E$7),1),0),'Falls Data Entry'!$A$6:$A$423,D97)</f>
        <v>0</v>
      </c>
      <c r="F97" s="82" t="str">
        <f>IFERROR(E97/($E$65+$E$69+$E$73+$E$77+$E$83+$E$87+$E$91+$E$97+$E$101+$E$105)," ")</f>
        <v xml:space="preserve"> </v>
      </c>
      <c r="G97" s="22">
        <f>COUNTIFS('Falls Data Entry'!$H$6:$H$423,"&lt;&gt;"&amp;" ",'Falls Data Entry'!$M$6:$M$423,"="&amp;"11pm-12:59am",'Falls Data Entry'!$H$6:$H$423,"&gt;="&amp;DATE(YEAR(VALUE('Time Location Falls Summary'!$E$8)),1,1),'Falls Data Entry'!$H$6:$H$423,"&lt;="&amp;DATE(YEAR(VALUE('Time Location Falls Summary'!$E$8)),12,31),'Falls Data Entry'!$A$6:$A$423,D97)</f>
        <v>0</v>
      </c>
      <c r="H97" s="82" t="str">
        <f>IFERROR(G97/($G$65+$G$69+$G$73+$G$77+$G$83+$G$87+$G$91+$G$97+$G$101+$G$105)," ")</f>
        <v xml:space="preserve"> </v>
      </c>
      <c r="I97" s="7"/>
      <c r="J97" s="7"/>
      <c r="K97" s="7"/>
      <c r="L97" s="7"/>
      <c r="M97" s="7"/>
      <c r="N97" s="7"/>
      <c r="O97" s="7"/>
      <c r="P97" s="7"/>
      <c r="Q97" s="7"/>
      <c r="R97" s="7"/>
      <c r="S97" s="7"/>
      <c r="T97" s="7"/>
      <c r="U97" s="7"/>
      <c r="V97" s="7"/>
      <c r="W97" s="7"/>
      <c r="X97" s="7"/>
    </row>
    <row r="98" spans="3:24" ht="17.25" x14ac:dyDescent="0.3">
      <c r="C98" s="83"/>
      <c r="D98" s="84" t="str">
        <f>IF(ISNONTEXT('Falls Summary'!$F$5),"",'Falls Summary'!$F$5)</f>
        <v>Unit 2</v>
      </c>
      <c r="E98" s="22">
        <f>COUNTIFS('Falls Data Entry'!$H$6:$H$423,"&lt;&gt;"&amp;" ",'Falls Data Entry'!$M$6:$M$423,"="&amp;"11pm-12:59am",'Falls Data Entry'!$H$6:$H$423,"&gt;="&amp;DATE(YEAR('Time Location Falls Summary'!$E$7),MONTH('Time Location Falls Summary'!$E$7),1),'Falls Data Entry'!$H$6:$H$423,"&lt;="&amp;EOMONTH(DATE(YEAR('Time Location Falls Summary'!$E$7),MONTH('Time Location Falls Summary'!$E$7),1),0),'Falls Data Entry'!$A$6:$A$423,D98)</f>
        <v>0</v>
      </c>
      <c r="F98" s="82" t="str">
        <f>IFERROR(E98/($E$66+$E$70+$E$74+$E$78+$E$84+$E$88+$E$92+$E$98+$E$102+$E$106)," ")</f>
        <v xml:space="preserve"> </v>
      </c>
      <c r="G98" s="22">
        <f>COUNTIFS('Falls Data Entry'!$H$6:$H$423,"&lt;&gt;"&amp;" ",'Falls Data Entry'!$M$6:$M$423,"="&amp;"11pm-12:59am",'Falls Data Entry'!$H$6:$H$423,"&gt;="&amp;DATE(YEAR(VALUE('Time Location Falls Summary'!$E$8)),1,1),'Falls Data Entry'!$H$6:$H$423,"&lt;="&amp;DATE(YEAR(VALUE('Time Location Falls Summary'!$E$8)),12,31),'Falls Data Entry'!$A$6:$A$423,D98)</f>
        <v>0</v>
      </c>
      <c r="H98" s="82" t="str">
        <f>IFERROR(G98/($G$66+$G$70+$G$74+$G$78+$G$84+$G$88+$G$92+$G$98+$G$102+$G$106)," ")</f>
        <v xml:space="preserve"> </v>
      </c>
      <c r="I98" s="7"/>
      <c r="J98" s="7"/>
      <c r="K98" s="7"/>
      <c r="L98" s="7"/>
      <c r="M98" s="7"/>
      <c r="N98" s="7"/>
      <c r="O98" s="7"/>
      <c r="P98" s="7"/>
      <c r="Q98" s="7"/>
      <c r="R98" s="7"/>
      <c r="S98" s="7"/>
      <c r="T98" s="7"/>
      <c r="U98" s="7"/>
      <c r="V98" s="7"/>
      <c r="W98" s="7"/>
      <c r="X98" s="7"/>
    </row>
    <row r="99" spans="3:24" ht="17.25" x14ac:dyDescent="0.3">
      <c r="C99" s="83"/>
      <c r="D99" s="84" t="str">
        <f>IF(ISNONTEXT('Falls Summary'!$G$5),"",'Falls Summary'!$G$5)</f>
        <v>Unit 3</v>
      </c>
      <c r="E99" s="22">
        <f>COUNTIFS('Falls Data Entry'!$H$6:$H$423,"&lt;&gt;"&amp;" ",'Falls Data Entry'!$M$6:$M$423,"="&amp;"11pm-12:59am",'Falls Data Entry'!$H$6:$H$423,"&gt;="&amp;DATE(YEAR('Time Location Falls Summary'!$E$7),MONTH('Time Location Falls Summary'!$E$7),1),'Falls Data Entry'!$H$6:$H$423,"&lt;="&amp;EOMONTH(DATE(YEAR('Time Location Falls Summary'!$E$7),MONTH('Time Location Falls Summary'!$E$7),1),0),'Falls Data Entry'!$A$6:$A$423,D99)</f>
        <v>0</v>
      </c>
      <c r="F99" s="82">
        <f t="shared" ref="F99" si="7">IFERROR(E99/(E99+E103+E107+E111+E117+E121+E125+E131+E135+E139)," ")</f>
        <v>0</v>
      </c>
      <c r="G99" s="22">
        <f>COUNTIFS('Falls Data Entry'!$H$6:$H$423,"&lt;&gt;"&amp;" ",'Falls Data Entry'!$M$6:$M$423,"="&amp;"11pm-12:59am",'Falls Data Entry'!$H$6:$H$423,"&gt;="&amp;DATE(YEAR(VALUE('Time Location Falls Summary'!$E$8)),1,1),'Falls Data Entry'!$H$6:$H$423,"&lt;="&amp;DATE(YEAR(VALUE('Time Location Falls Summary'!$E$8)),12,31),'Falls Data Entry'!$A$6:$A$423,D99)</f>
        <v>0</v>
      </c>
      <c r="H99" s="82" t="str">
        <f>IFERROR(G99/($G$67+$G$71+$G$75+$G$79+$G$85+$G$89+$G$93+$G$99+$G$103+$G$107)," ")</f>
        <v xml:space="preserve"> </v>
      </c>
      <c r="I99" s="7"/>
      <c r="J99" s="7"/>
      <c r="K99" s="7"/>
      <c r="L99" s="7"/>
      <c r="M99" s="7"/>
      <c r="N99" s="7"/>
      <c r="O99" s="7"/>
      <c r="P99" s="7"/>
      <c r="Q99" s="7"/>
      <c r="R99" s="7"/>
      <c r="S99" s="7"/>
      <c r="T99" s="7"/>
      <c r="U99" s="7"/>
      <c r="V99" s="7"/>
      <c r="W99" s="7"/>
      <c r="X99" s="7"/>
    </row>
    <row r="100" spans="3:24" ht="17.25" x14ac:dyDescent="0.3">
      <c r="C100" s="129" t="s">
        <v>62</v>
      </c>
      <c r="D100" s="131" t="s">
        <v>3</v>
      </c>
      <c r="E100" s="131">
        <f>COUNTIFS('Falls Data Entry'!$H$6:$H$423,"&lt;&gt;"&amp;" ",'Falls Data Entry'!$M$6:$M$423,"="&amp;"1-4:59am",'Falls Data Entry'!$H$6:$H$423,"&gt;="&amp;DATE(YEAR('Time Location Falls Summary'!$E$7),MONTH('Time Location Falls Summary'!$E$7),1),'Falls Data Entry'!$H$6:$H$423,"&lt;="&amp;EOMONTH(DATE(YEAR('Time Location Falls Summary'!$E$7),MONTH('Time Location Falls Summary'!$E$7),1),0))</f>
        <v>0</v>
      </c>
      <c r="F100" s="131" t="str">
        <f>IFERROR(E100/($E$64+$E$68+$E$72+$E$76+$E$82+$E$86+$E$90+$E$96+$E$100+$E$104)," ")</f>
        <v xml:space="preserve"> </v>
      </c>
      <c r="G100" s="131">
        <f>COUNTIFS('Falls Data Entry'!$H$6:$H$423,"&lt;&gt;"&amp;" ",'Falls Data Entry'!$M$6:$M$423,"="&amp;"1-4:59am",'Falls Data Entry'!$H$6:$H$423,"&gt;="&amp;DATE(YEAR(VALUE('Time Location Falls Summary'!$E$8)),1,1),'Falls Data Entry'!$H$6:$H$423,"&lt;="&amp;DATE(YEAR(VALUE('Time Location Falls Summary'!$E$8)),12,31))</f>
        <v>0</v>
      </c>
      <c r="H100" s="131" t="str">
        <f>IFERROR(G100/($G$64+$G$68+$G$72+$G$76+$G$82+$G$86+$G$90+$G$96+$G$100+$G$104)," ")</f>
        <v xml:space="preserve"> </v>
      </c>
      <c r="I100" s="7"/>
      <c r="J100" s="7"/>
      <c r="K100" s="7"/>
      <c r="L100" s="7"/>
      <c r="M100" s="7"/>
      <c r="N100" s="7"/>
      <c r="O100" s="7"/>
      <c r="P100" s="7"/>
      <c r="Q100" s="7"/>
      <c r="R100" s="7"/>
      <c r="S100" s="7"/>
      <c r="T100" s="7"/>
      <c r="U100" s="7"/>
      <c r="V100" s="7"/>
      <c r="W100" s="7"/>
      <c r="X100" s="7"/>
    </row>
    <row r="101" spans="3:24" ht="17.25" x14ac:dyDescent="0.3">
      <c r="C101" s="83"/>
      <c r="D101" s="84" t="str">
        <f>IF(ISNONTEXT('Falls Summary'!$E$5),"",'Falls Summary'!$E$5)</f>
        <v>Unit 1</v>
      </c>
      <c r="E101" s="22">
        <f>COUNTIFS('Falls Data Entry'!$H$6:$H$423,"&lt;&gt;"&amp;" ",'Falls Data Entry'!$M$6:$M$423,"="&amp;"1-4:59am",'Falls Data Entry'!$H$6:$H$423,"&gt;="&amp;DATE(YEAR('Time Location Falls Summary'!$E$7),MONTH('Time Location Falls Summary'!$E$7),1),'Falls Data Entry'!$H$6:$H$423,"&lt;="&amp;EOMONTH(DATE(YEAR('Time Location Falls Summary'!$E$7),MONTH('Time Location Falls Summary'!$E$7),1),0),'Falls Data Entry'!$A$6:$A$423,D101)</f>
        <v>0</v>
      </c>
      <c r="F101" s="82" t="str">
        <f>IFERROR(E101/($E$65+$E$69+$E$73+$E$77+$E$83+$E$87+$E$91+$E$97+$E$101+$E$105)," ")</f>
        <v xml:space="preserve"> </v>
      </c>
      <c r="G101" s="22">
        <f>COUNTIFS('Falls Data Entry'!$H$6:$H$423,"&lt;&gt;"&amp;" ",'Falls Data Entry'!$M$6:$M$423,"="&amp;"1-4:59am",'Falls Data Entry'!$H$6:$H$423,"&gt;="&amp;DATE(YEAR(VALUE('Time Location Falls Summary'!$E$8)),1,1),'Falls Data Entry'!$H$6:$H$423,"&lt;="&amp;DATE(YEAR(VALUE('Time Location Falls Summary'!$E$8)),12,31),'Falls Data Entry'!$A$6:$A$423,D101)</f>
        <v>0</v>
      </c>
      <c r="H101" s="82" t="str">
        <f>IFERROR(G101/($G$65+$G$69+$G$73+$G$77+$G$83+$G$87+$G$91+$G$97+$G$101+$G$105)," ")</f>
        <v xml:space="preserve"> </v>
      </c>
      <c r="I101" s="7"/>
      <c r="J101" s="7"/>
      <c r="K101" s="7"/>
      <c r="L101" s="7"/>
      <c r="M101" s="7"/>
      <c r="N101" s="7"/>
      <c r="O101" s="7"/>
      <c r="P101" s="7"/>
      <c r="Q101" s="7"/>
      <c r="R101" s="7"/>
      <c r="S101" s="7"/>
      <c r="T101" s="7"/>
      <c r="U101" s="7"/>
      <c r="V101" s="7"/>
      <c r="W101" s="7"/>
      <c r="X101" s="7"/>
    </row>
    <row r="102" spans="3:24" ht="17.25" x14ac:dyDescent="0.3">
      <c r="C102" s="83"/>
      <c r="D102" s="84" t="str">
        <f>IF(ISNONTEXT('Falls Summary'!$F$5),"",'Falls Summary'!$F$5)</f>
        <v>Unit 2</v>
      </c>
      <c r="E102" s="22">
        <f>COUNTIFS('Falls Data Entry'!$H$6:$H$423,"&lt;&gt;"&amp;" ",'Falls Data Entry'!$M$6:$M$423,"="&amp;"1-4:59am",'Falls Data Entry'!$H$6:$H$423,"&gt;="&amp;DATE(YEAR('Time Location Falls Summary'!$E$7),MONTH('Time Location Falls Summary'!$E$7),1),'Falls Data Entry'!$H$6:$H$423,"&lt;="&amp;EOMONTH(DATE(YEAR('Time Location Falls Summary'!$E$7),MONTH('Time Location Falls Summary'!$E$7),1),0),'Falls Data Entry'!$A$6:$A$423,D102)</f>
        <v>0</v>
      </c>
      <c r="F102" s="82" t="str">
        <f>IFERROR(E102/($E$66+$E$70+$E$74+$E$78+$E$84+$E$88+$E$92+$E$98+$E$102+$E$106)," ")</f>
        <v xml:space="preserve"> </v>
      </c>
      <c r="G102" s="22">
        <f>COUNTIFS('Falls Data Entry'!$H$6:$H$423,"&lt;&gt;"&amp;" ",'Falls Data Entry'!$M$6:$M$423,"="&amp;"1-4:59am",'Falls Data Entry'!$H$6:$H$423,"&gt;="&amp;DATE(YEAR(VALUE('Time Location Falls Summary'!$E$8)),1,1),'Falls Data Entry'!$H$6:$H$423,"&lt;="&amp;DATE(YEAR(VALUE('Time Location Falls Summary'!$E$8)),12,31),'Falls Data Entry'!$A$6:$A$423,D102)</f>
        <v>0</v>
      </c>
      <c r="H102" s="82" t="str">
        <f>IFERROR(G102/($G$66+$G$70+$G$74+$G$78+$G$84+$G$88+$G$92+$G$98+$G$102+$G$106)," ")</f>
        <v xml:space="preserve"> </v>
      </c>
      <c r="I102" s="7"/>
      <c r="J102" s="7"/>
      <c r="K102" s="7"/>
      <c r="L102" s="7"/>
      <c r="M102" s="7"/>
      <c r="N102" s="7"/>
      <c r="O102" s="7"/>
      <c r="P102" s="7"/>
      <c r="Q102" s="7"/>
      <c r="R102" s="7"/>
      <c r="S102" s="7"/>
      <c r="T102" s="7"/>
      <c r="U102" s="7"/>
      <c r="V102" s="7"/>
      <c r="W102" s="7"/>
      <c r="X102" s="7"/>
    </row>
    <row r="103" spans="3:24" ht="17.25" x14ac:dyDescent="0.3">
      <c r="C103" s="83"/>
      <c r="D103" s="84" t="str">
        <f>IF(ISNONTEXT('Falls Summary'!$G$5),"",'Falls Summary'!$G$5)</f>
        <v>Unit 3</v>
      </c>
      <c r="E103" s="22">
        <f>COUNTIFS('Falls Data Entry'!$H$6:$H$423,"&lt;&gt;"&amp;" ",'Falls Data Entry'!$M$6:$M$423,"="&amp;"1-4:59am",'Falls Data Entry'!$H$6:$H$423,"&gt;="&amp;DATE(YEAR('Time Location Falls Summary'!$E$7),MONTH('Time Location Falls Summary'!$E$7),1),'Falls Data Entry'!$H$6:$H$423,"&lt;="&amp;EOMONTH(DATE(YEAR('Time Location Falls Summary'!$E$7),MONTH('Time Location Falls Summary'!$E$7),1),0),'Falls Data Entry'!$A$6:$A$423,D103)</f>
        <v>0</v>
      </c>
      <c r="F103" s="82">
        <f t="shared" ref="F103" si="8">IFERROR(E103/(E103+E107+E111+E115+E121+E125+E129+E135+E139+E143)," ")</f>
        <v>0</v>
      </c>
      <c r="G103" s="22">
        <f>COUNTIFS('Falls Data Entry'!$H$6:$H$423,"&lt;&gt;"&amp;" ",'Falls Data Entry'!$M$6:$M$423,"="&amp;"1-4:59am",'Falls Data Entry'!$H$6:$H$423,"&gt;="&amp;DATE(YEAR(VALUE('Time Location Falls Summary'!$E$8)),1,1),'Falls Data Entry'!$H$6:$H$423,"&lt;="&amp;DATE(YEAR(VALUE('Time Location Falls Summary'!$E$8)),12,31),'Falls Data Entry'!$A$6:$A$423,D103)</f>
        <v>0</v>
      </c>
      <c r="H103" s="82" t="str">
        <f>IFERROR(G103/($G$67+$G$71+$G$75+$G$79+$G$85+$G$89+$G$93+$G$99+$G$103+$G$107)," ")</f>
        <v xml:space="preserve"> </v>
      </c>
      <c r="I103" s="7"/>
      <c r="J103" s="7"/>
      <c r="K103" s="7"/>
      <c r="L103" s="7"/>
      <c r="M103" s="7"/>
      <c r="N103" s="7"/>
      <c r="O103" s="7"/>
      <c r="P103" s="7"/>
      <c r="Q103" s="7"/>
      <c r="R103" s="7"/>
      <c r="S103" s="7"/>
      <c r="T103" s="7"/>
      <c r="U103" s="7"/>
      <c r="V103" s="7"/>
      <c r="W103" s="7"/>
      <c r="X103" s="7"/>
    </row>
    <row r="104" spans="3:24" ht="17.25" x14ac:dyDescent="0.3">
      <c r="C104" s="129" t="s">
        <v>63</v>
      </c>
      <c r="D104" s="131" t="s">
        <v>3</v>
      </c>
      <c r="E104" s="131">
        <f>COUNTIFS('Falls Data Entry'!$H$6:$H$423,"&lt;&gt;"&amp;" ",'Falls Data Entry'!$M$6:$M$423,"="&amp;"5-6:59am",'Falls Data Entry'!$H$6:$H$423,"&gt;="&amp;DATE(YEAR('Time Location Falls Summary'!$E$7),MONTH('Time Location Falls Summary'!$E$7),1),'Falls Data Entry'!$H$6:$H$423,"&lt;="&amp;EOMONTH(DATE(YEAR('Time Location Falls Summary'!$E$7),MONTH('Time Location Falls Summary'!$E$7),1),0))</f>
        <v>0</v>
      </c>
      <c r="F104" s="131" t="str">
        <f>IFERROR(E104/($E$64+$E$68+$E$72+$E$76+$E$82+$E$86+$E$90+$E$96+$E$100+$E$104)," ")</f>
        <v xml:space="preserve"> </v>
      </c>
      <c r="G104" s="131">
        <f>COUNTIFS('Falls Data Entry'!$H$6:$H$423,"&lt;&gt;"&amp;" ",'Falls Data Entry'!$M$6:$M$423,"="&amp;"5-6:59am",'Falls Data Entry'!$H$6:$H$423,"&gt;="&amp;DATE(YEAR(VALUE('Time Location Falls Summary'!$E$8)),1,1),'Falls Data Entry'!$H$6:$H$423,"&lt;="&amp;DATE(YEAR(VALUE('Time Location Falls Summary'!$E$8)),12,31))</f>
        <v>0</v>
      </c>
      <c r="H104" s="131" t="str">
        <f>IFERROR(G104/($G$64+$G$68+$G$72+$G$76+$G$82+$G$86+$G$90+$G$96+$G$100+$G$104)," ")</f>
        <v xml:space="preserve"> </v>
      </c>
      <c r="I104" s="7"/>
      <c r="J104" s="7"/>
      <c r="K104" s="7"/>
      <c r="L104" s="7"/>
      <c r="M104" s="7"/>
      <c r="N104" s="7"/>
      <c r="O104" s="7"/>
      <c r="P104" s="7"/>
      <c r="Q104" s="7"/>
      <c r="R104" s="7"/>
      <c r="S104" s="7"/>
      <c r="T104" s="7"/>
      <c r="U104" s="7"/>
      <c r="V104" s="7"/>
      <c r="W104" s="7"/>
      <c r="X104" s="7"/>
    </row>
    <row r="105" spans="3:24" ht="17.25" x14ac:dyDescent="0.3">
      <c r="C105" s="83"/>
      <c r="D105" s="84" t="str">
        <f>IF(ISNONTEXT('Falls Summary'!$E$5),"",'Falls Summary'!$E$5)</f>
        <v>Unit 1</v>
      </c>
      <c r="E105" s="22">
        <f>COUNTIFS('Falls Data Entry'!$H$6:$H$423,"&lt;&gt;"&amp;" ",'Falls Data Entry'!$M$6:$M$423,"="&amp;"5-6:59am",'Falls Data Entry'!$H$6:$H$423,"&gt;="&amp;DATE(YEAR('Time Location Falls Summary'!$E$7),MONTH('Time Location Falls Summary'!$E$7),1),'Falls Data Entry'!$H$6:$H$423,"&lt;="&amp;EOMONTH(DATE(YEAR('Time Location Falls Summary'!$E$7),MONTH('Time Location Falls Summary'!$E$7),1),0),'Falls Data Entry'!$A$6:$A$423,D105)</f>
        <v>0</v>
      </c>
      <c r="F105" s="82" t="str">
        <f>IFERROR(E105/($E$65+$E$69+$E$73+$E$77+$E$83+$E$87+$E$91+$E$97+$E$101+$E$105)," ")</f>
        <v xml:space="preserve"> </v>
      </c>
      <c r="G105" s="22">
        <f>COUNTIFS('Falls Data Entry'!$H$6:$H$423,"&lt;&gt;"&amp;" ",'Falls Data Entry'!$M$6:$M$423,"="&amp;"5-6:59am",'Falls Data Entry'!$H$6:$H$423,"&gt;="&amp;DATE(YEAR(VALUE('Time Location Falls Summary'!$E$8)),1,1),'Falls Data Entry'!$H$6:$H$423,"&lt;="&amp;DATE(YEAR(VALUE('Time Location Falls Summary'!$E$8)),12,31),'Falls Data Entry'!$A$6:$A$423,D105)</f>
        <v>0</v>
      </c>
      <c r="H105" s="82" t="str">
        <f>IFERROR(G105/($G$65+$G$69+$G$73+$G$77+$G$83+$G$87+$G$91+$G$97+$G$101+$G$105)," ")</f>
        <v xml:space="preserve"> </v>
      </c>
      <c r="I105" s="7"/>
      <c r="J105" s="7"/>
      <c r="K105" s="7"/>
      <c r="L105" s="7"/>
      <c r="M105" s="7"/>
      <c r="N105" s="7"/>
      <c r="O105" s="7"/>
      <c r="P105" s="7"/>
      <c r="Q105" s="7"/>
      <c r="R105" s="7"/>
      <c r="S105" s="7"/>
      <c r="T105" s="7"/>
      <c r="U105" s="7"/>
      <c r="V105" s="7"/>
      <c r="W105" s="7"/>
      <c r="X105" s="7"/>
    </row>
    <row r="106" spans="3:24" ht="17.25" x14ac:dyDescent="0.3">
      <c r="C106" s="83"/>
      <c r="D106" s="84" t="str">
        <f>IF(ISNONTEXT('Falls Summary'!$F$5),"",'Falls Summary'!$F$5)</f>
        <v>Unit 2</v>
      </c>
      <c r="E106" s="22">
        <f>COUNTIFS('Falls Data Entry'!$H$6:$H$423,"&lt;&gt;"&amp;" ",'Falls Data Entry'!$M$6:$M$423,"="&amp;"5-6:59am",'Falls Data Entry'!$H$6:$H$423,"&gt;="&amp;DATE(YEAR('Time Location Falls Summary'!$E$7),MONTH('Time Location Falls Summary'!$E$7),1),'Falls Data Entry'!$H$6:$H$423,"&lt;="&amp;EOMONTH(DATE(YEAR('Time Location Falls Summary'!$E$7),MONTH('Time Location Falls Summary'!$E$7),1),0),'Falls Data Entry'!$A$6:$A$423,D106)</f>
        <v>0</v>
      </c>
      <c r="F106" s="82" t="str">
        <f>IFERROR(E106/($E$66+$E$70+$E$74+$E$78+$E$84+$E$88+$E$92+$E$98+$E$102+$E$106)," ")</f>
        <v xml:space="preserve"> </v>
      </c>
      <c r="G106" s="22">
        <f>COUNTIFS('Falls Data Entry'!$H$6:$H$423,"&lt;&gt;"&amp;" ",'Falls Data Entry'!$M$6:$M$423,"="&amp;"5-6:59am",'Falls Data Entry'!$H$6:$H$423,"&gt;="&amp;DATE(YEAR(VALUE('Time Location Falls Summary'!$E$8)),1,1),'Falls Data Entry'!$H$6:$H$423,"&lt;="&amp;DATE(YEAR(VALUE('Time Location Falls Summary'!$E$8)),12,31),'Falls Data Entry'!$A$6:$A$423,D106)</f>
        <v>0</v>
      </c>
      <c r="H106" s="82" t="str">
        <f>IFERROR(G106/($G$66+$G$70+$G$74+$G$78+$G$84+$G$88+$G$92+$G$98+$G$102+$G$106)," ")</f>
        <v xml:space="preserve"> </v>
      </c>
      <c r="I106" s="7"/>
      <c r="J106" s="7"/>
      <c r="K106" s="7"/>
      <c r="L106" s="7"/>
      <c r="M106" s="7"/>
      <c r="N106" s="7"/>
      <c r="O106" s="7"/>
      <c r="P106" s="7"/>
      <c r="Q106" s="7"/>
      <c r="R106" s="7"/>
      <c r="S106" s="7"/>
      <c r="T106" s="7"/>
      <c r="U106" s="7"/>
      <c r="V106" s="7"/>
      <c r="W106" s="7"/>
      <c r="X106" s="7"/>
    </row>
    <row r="107" spans="3:24" ht="17.25" x14ac:dyDescent="0.3">
      <c r="C107" s="94"/>
      <c r="D107" s="84" t="str">
        <f>IF(ISNONTEXT('Falls Summary'!$G$5),"",'Falls Summary'!$G$5)</f>
        <v>Unit 3</v>
      </c>
      <c r="E107" s="22">
        <f>COUNTIFS('Falls Data Entry'!$H$6:$H$423,"&lt;&gt;"&amp;" ",'Falls Data Entry'!$M$6:$M$423,"="&amp;"5-6:59am",'Falls Data Entry'!$H$6:$H$423,"&gt;="&amp;DATE(YEAR('Time Location Falls Summary'!$E$7),MONTH('Time Location Falls Summary'!$E$7),1),'Falls Data Entry'!$H$6:$H$423,"&lt;="&amp;EOMONTH(DATE(YEAR('Time Location Falls Summary'!$E$7),MONTH('Time Location Falls Summary'!$E$7),1),0),'Falls Data Entry'!$A$6:$A$423,D107)</f>
        <v>0</v>
      </c>
      <c r="F107" s="82">
        <f t="shared" ref="F107" si="9">IFERROR(E107/(E107+E111+E115+E119+E125+E129+E133+E139+E143+E147)," ")</f>
        <v>0</v>
      </c>
      <c r="G107" s="22">
        <f>COUNTIFS('Falls Data Entry'!$H$6:$H$423,"&lt;&gt;"&amp;" ",'Falls Data Entry'!$M$6:$M$423,"="&amp;"5-6:59am",'Falls Data Entry'!$H$6:$H$423,"&gt;="&amp;DATE(YEAR(VALUE('Time Location Falls Summary'!$E$8)),1,1),'Falls Data Entry'!$H$6:$H$423,"&lt;="&amp;DATE(YEAR(VALUE('Time Location Falls Summary'!$E$8)),12,31),'Falls Data Entry'!$A$6:$A$423,D107)</f>
        <v>0</v>
      </c>
      <c r="H107" s="82" t="str">
        <f>IFERROR(G107/($G$67+$G$71+$G$75+$G$79+$G$85+$G$89+$G$93+$G$99+$G$103+$G$107)," ")</f>
        <v xml:space="preserve"> </v>
      </c>
      <c r="I107" s="7"/>
      <c r="J107" s="7"/>
      <c r="K107" s="7"/>
      <c r="L107" s="7"/>
      <c r="M107" s="7"/>
      <c r="N107" s="7"/>
      <c r="O107" s="7"/>
      <c r="P107" s="7"/>
      <c r="Q107" s="7"/>
      <c r="R107" s="7"/>
      <c r="S107" s="7"/>
      <c r="T107" s="7"/>
      <c r="U107" s="7"/>
      <c r="V107" s="7"/>
      <c r="W107" s="7"/>
      <c r="X107" s="7"/>
    </row>
    <row r="110" spans="3:24" ht="34.15" customHeight="1" x14ac:dyDescent="0.3">
      <c r="C110" s="7"/>
      <c r="D110" s="7"/>
      <c r="E110" s="7"/>
      <c r="F110" s="69"/>
      <c r="G110" s="7"/>
      <c r="H110" s="69"/>
      <c r="I110" s="7"/>
      <c r="J110" s="7"/>
      <c r="K110" s="7"/>
      <c r="L110" s="7"/>
      <c r="M110" s="7"/>
      <c r="N110" s="7"/>
      <c r="O110" s="7"/>
      <c r="P110" s="7"/>
      <c r="Q110" s="7"/>
      <c r="R110" s="7"/>
      <c r="S110" s="7"/>
      <c r="T110" s="7"/>
      <c r="U110" s="7"/>
      <c r="V110" s="7"/>
      <c r="W110" s="7"/>
      <c r="X110" s="7"/>
    </row>
    <row r="111" spans="3:24" ht="21" thickBot="1" x14ac:dyDescent="0.4">
      <c r="C111" s="76" t="s">
        <v>64</v>
      </c>
      <c r="D111" s="44"/>
      <c r="E111" s="168">
        <f>'Falls Summary'!$E$7</f>
        <v>46174</v>
      </c>
      <c r="F111" s="168"/>
      <c r="G111" s="169" t="s">
        <v>11</v>
      </c>
      <c r="H111" s="169"/>
      <c r="I111" s="7"/>
      <c r="J111" s="7"/>
      <c r="K111" s="7"/>
      <c r="L111" s="7"/>
      <c r="M111" s="7"/>
      <c r="N111" s="7"/>
      <c r="O111" s="7"/>
      <c r="P111" s="7"/>
      <c r="Q111" s="7"/>
      <c r="R111" s="7"/>
      <c r="S111" s="7"/>
      <c r="T111" s="7"/>
      <c r="U111" s="7"/>
      <c r="V111" s="7"/>
      <c r="W111" s="7"/>
      <c r="X111" s="7"/>
    </row>
    <row r="112" spans="3:24" ht="39.6" customHeight="1" thickTop="1" thickBot="1" x14ac:dyDescent="0.35">
      <c r="C112" s="61"/>
      <c r="D112" s="62"/>
      <c r="E112" s="63" t="s">
        <v>65</v>
      </c>
      <c r="F112" s="64" t="s">
        <v>66</v>
      </c>
      <c r="G112" s="63" t="s">
        <v>65</v>
      </c>
      <c r="H112" s="64" t="s">
        <v>66</v>
      </c>
      <c r="I112" s="7"/>
      <c r="J112" s="164" t="s">
        <v>67</v>
      </c>
      <c r="K112" s="164"/>
      <c r="L112" s="165" t="s">
        <v>68</v>
      </c>
      <c r="M112" s="166"/>
      <c r="N112" s="166"/>
      <c r="O112" s="167"/>
      <c r="P112" s="7"/>
      <c r="Q112" s="7"/>
      <c r="R112" s="193" t="s">
        <v>2909</v>
      </c>
      <c r="S112" s="193"/>
      <c r="T112" s="194"/>
      <c r="U112" s="188" t="str">
        <f>'Falls Summary'!$S$46</f>
        <v>Unit 1</v>
      </c>
      <c r="V112" s="189"/>
      <c r="W112" s="189"/>
      <c r="X112" s="190"/>
    </row>
    <row r="113" spans="1:12" ht="18" thickTop="1" x14ac:dyDescent="0.3">
      <c r="A113" s="46">
        <v>1</v>
      </c>
      <c r="C113" s="129" t="s">
        <v>68</v>
      </c>
      <c r="D113" s="131" t="s">
        <v>3</v>
      </c>
      <c r="E113" s="131">
        <f>COUNTIFS('Falls Data Entry'!$H$6:$H$423,"&lt;&gt;"&amp;" ",'Falls Data Entry'!$N$6:$N$423,"="&amp;"In Room",'Falls Data Entry'!$H$6:$H$423,"&gt;="&amp;DATE(YEAR('Time Location Falls Summary'!$E$7),MONTH('Time Location Falls Summary'!$E$7),1),'Falls Data Entry'!$H$6:$H$423,"&lt;="&amp;EOMONTH(DATE(YEAR('Time Location Falls Summary'!$E$7),MONTH('Time Location Falls Summary'!$E$7),1),0))</f>
        <v>0</v>
      </c>
      <c r="F113" s="131" t="str">
        <f>IFERROR(E113/($E$113+$E$117+$E$121+$E$125+$E$129+$E$133+$E$137+$E$141+$E$145+$E$149+$E$153)," ")</f>
        <v xml:space="preserve"> </v>
      </c>
      <c r="G113" s="131">
        <f>COUNTIFS('Falls Data Entry'!$H$6:$H$423,"&lt;&gt;"&amp;" ",'Falls Data Entry'!$N$6:$N$423,"="&amp;"In Room",'Falls Data Entry'!$H$6:$H$423,"&gt;="&amp;DATE(YEAR(VALUE('Time Location Falls Summary'!$E$8)),1,1),'Falls Data Entry'!$H$6:$H$423,"&lt;="&amp;DATE(YEAR(VALUE('Time Location Falls Summary'!$E$8)),12,31))</f>
        <v>0</v>
      </c>
      <c r="H113" s="131" t="str">
        <f>IFERROR(G113/($G$113+$G$117+$G$121+$G$125+$G$129+$G$133+$G$137+$G$141+$G$145+$G$149+$G$153)," ")</f>
        <v xml:space="preserve"> </v>
      </c>
      <c r="I113" s="7"/>
      <c r="J113" s="7"/>
      <c r="K113" s="7"/>
      <c r="L113" s="46">
        <f>_xlfn.XLOOKUP(L112,$C$113:$C$156, $A$113:$A$156,"",0)</f>
        <v>1</v>
      </c>
    </row>
    <row r="114" spans="1:12" ht="17.25" x14ac:dyDescent="0.3">
      <c r="A114" s="46">
        <v>1</v>
      </c>
      <c r="C114" s="83"/>
      <c r="D114" s="84" t="str">
        <f>IF(ISNONTEXT('Falls Summary'!$E$5),"",'Falls Summary'!$E$5)</f>
        <v>Unit 1</v>
      </c>
      <c r="E114" s="22">
        <f>COUNTIFS('Falls Data Entry'!$H$6:$H$423,"&lt;&gt;"&amp;" ",'Falls Data Entry'!$N$6:$N$423,"="&amp;"In Room",'Falls Data Entry'!$H$6:$H$423,"&gt;="&amp;DATE(YEAR('Time Location Falls Summary'!$E$7),MONTH('Time Location Falls Summary'!$E$7),1),'Falls Data Entry'!$H$6:$H$423,"&lt;="&amp;EOMONTH(DATE(YEAR('Time Location Falls Summary'!$E$7),MONTH('Time Location Falls Summary'!$E$7),1),0),'Falls Data Entry'!$A$6:$A$423,D114)</f>
        <v>0</v>
      </c>
      <c r="F114" s="82" t="str">
        <f>IFERROR(E114/($E$114+$E$118+$E$122+$E$126+$E$130+$E$134+$E$138+$E$142+$E$146+$E$150+$E$154)," ")</f>
        <v xml:space="preserve"> </v>
      </c>
      <c r="G114" s="22">
        <f>COUNTIFS('Falls Data Entry'!$H$6:$H$423,"&lt;&gt;"&amp;" ",'Falls Data Entry'!$N$6:$N$423,"="&amp;"In Room",'Falls Data Entry'!$H$6:$H$423,"&gt;="&amp;DATE(YEAR(VALUE('Time Location Falls Summary'!$E$8)),1,1),'Falls Data Entry'!$H$6:$H$423,"&lt;="&amp;DATE(YEAR(VALUE('Time Location Falls Summary'!$E$8)),12,31),'Falls Data Entry'!$A$6:$A$423,D114)</f>
        <v>0</v>
      </c>
      <c r="H114" s="82" t="str">
        <f>IFERROR(G114/($G$114+$G$118+$G$122+$G$126+$G$130+$G$134+$G$138+$G$142+$G$146+$G$150+$G$154)," ")</f>
        <v xml:space="preserve"> </v>
      </c>
      <c r="I114" s="7"/>
      <c r="J114" s="131"/>
      <c r="K114" s="85">
        <f>'Falls Summary'!$E$7</f>
        <v>46174</v>
      </c>
      <c r="L114" s="79" t="s">
        <v>11</v>
      </c>
    </row>
    <row r="115" spans="1:12" ht="17.25" x14ac:dyDescent="0.3">
      <c r="A115" s="46">
        <v>1</v>
      </c>
      <c r="C115" s="83"/>
      <c r="D115" s="84" t="str">
        <f>IF(ISNONTEXT('Falls Summary'!$F$5),"",'Falls Summary'!$F$5)</f>
        <v>Unit 2</v>
      </c>
      <c r="E115" s="22">
        <f>COUNTIFS('Falls Data Entry'!$H$6:$H$423,"&lt;&gt;"&amp;" ",'Falls Data Entry'!$N$6:$N$423,"="&amp;"In Room",'Falls Data Entry'!$H$6:$H$423,"&gt;="&amp;DATE(YEAR('Time Location Falls Summary'!$E$7),MONTH('Time Location Falls Summary'!$E$7),1),'Falls Data Entry'!$H$6:$H$423,"&lt;="&amp;EOMONTH(DATE(YEAR('Time Location Falls Summary'!$E$7),MONTH('Time Location Falls Summary'!$E$7),1),0),'Falls Data Entry'!$A$6:$A$423,D115)</f>
        <v>0</v>
      </c>
      <c r="F115" s="82" t="str">
        <f>IFERROR(E115/($E$115+$E$119+$E$123+$E$127+$E$131+$E$135+$E$139+$E$143+$E$147+$E$151+$E$155)," ")</f>
        <v xml:space="preserve"> </v>
      </c>
      <c r="G115" s="22">
        <f>COUNTIFS('Falls Data Entry'!$H$6:$H$423,"&lt;&gt;"&amp;" ",'Falls Data Entry'!$N$6:$N$423,"="&amp;"In Room",'Falls Data Entry'!$H$6:$H$423,"&gt;="&amp;DATE(YEAR(VALUE('Time Location Falls Summary'!$E$8)),1,1),'Falls Data Entry'!$H$6:$H$423,"&lt;="&amp;DATE(YEAR(VALUE('Time Location Falls Summary'!$E$8)),12,31),'Falls Data Entry'!$A$6:$A$423,D115)</f>
        <v>0</v>
      </c>
      <c r="H115" s="82" t="str">
        <f>IFERROR(G115/($G$115+$G$119+$G$123+$G$127+$G$131+$G$135+$G$139+$G$143+$G$147+$G$151+$G$155)," ")</f>
        <v xml:space="preserve"> </v>
      </c>
      <c r="I115" s="7"/>
      <c r="J115" s="84" t="str">
        <f>IF(ISNONTEXT($E$5),"",$E$5)</f>
        <v>Unit 1</v>
      </c>
      <c r="K115" s="86" t="str" cm="1">
        <f t="array" ref="K115">_xlfn.XLOOKUP(J115&amp;$L$113,$D$113:$D$156&amp;$A$113:$A$156,$F$113:$F$156,"",0)</f>
        <v xml:space="preserve"> </v>
      </c>
      <c r="L115" s="86" t="str" cm="1">
        <f t="array" ref="L115">_xlfn.XLOOKUP(J115&amp;$L$113,$D$113:$D$156&amp;$A$113:$A$156,$H$113:$H$156,"",0)</f>
        <v xml:space="preserve"> </v>
      </c>
    </row>
    <row r="116" spans="1:12" ht="17.25" x14ac:dyDescent="0.3">
      <c r="A116" s="46">
        <v>1</v>
      </c>
      <c r="C116" s="83"/>
      <c r="D116" s="84" t="str">
        <f>IF(ISNONTEXT('Falls Summary'!$G$5),"",'Falls Summary'!$G$5)</f>
        <v>Unit 3</v>
      </c>
      <c r="E116" s="22">
        <f>COUNTIFS('Falls Data Entry'!$H$6:$H$423,"&lt;&gt;"&amp;" ",'Falls Data Entry'!$N$6:$N$423,"="&amp;"In Room",'Falls Data Entry'!$H$6:$H$423,"&gt;="&amp;DATE(YEAR('Time Location Falls Summary'!$E$7),MONTH('Time Location Falls Summary'!$E$7),1),'Falls Data Entry'!$H$6:$H$423,"&lt;="&amp;EOMONTH(DATE(YEAR('Time Location Falls Summary'!$E$7),MONTH('Time Location Falls Summary'!$E$7),1),0),'Falls Data Entry'!$A$6:$A$423,D116)</f>
        <v>0</v>
      </c>
      <c r="F116" s="82" t="str">
        <f>IFERROR(E116/($E$116+$E$120+$E$124+$E$128+$E$132+$E$136+$E$140+$E$144+$E$148+$E$152+$E$156)," ")</f>
        <v xml:space="preserve"> </v>
      </c>
      <c r="G116" s="22">
        <f>COUNTIFS('Falls Data Entry'!$H$6:$H$423,"&lt;&gt;"&amp;" ",'Falls Data Entry'!$N$6:$N$423,"="&amp;"In Room",'Falls Data Entry'!$H$6:$H$423,"&gt;="&amp;DATE(YEAR(VALUE('Time Location Falls Summary'!$E$8)),1,1),'Falls Data Entry'!$H$6:$H$423,"&lt;="&amp;DATE(YEAR(VALUE('Time Location Falls Summary'!$E$8)),12,31),'Falls Data Entry'!$A$6:$A$423,D116)</f>
        <v>0</v>
      </c>
      <c r="H116" s="82" t="str">
        <f>IFERROR(G116/($G$116+$G$120+$G$124+$G$128+$G$132+$G$136+$G$140+$G$144+$G$148+$G$152+$G$156)," ")</f>
        <v xml:space="preserve"> </v>
      </c>
      <c r="I116" s="7"/>
      <c r="J116" s="84" t="str">
        <f>IF(ISNONTEXT($F$5),"",$F$5)</f>
        <v>Unit 2</v>
      </c>
      <c r="K116" s="86" t="str" cm="1">
        <f t="array" ref="K116">_xlfn.XLOOKUP(J116&amp;$L$113,$D$113:$D$156&amp;$A$113:$A$156,$F$113:$F$156,"",0)</f>
        <v xml:space="preserve"> </v>
      </c>
      <c r="L116" s="86" t="str" cm="1">
        <f t="array" ref="L116">_xlfn.XLOOKUP(J116&amp;$L$113,$D$113:$D$156&amp;$A$113:$A$156,$H$113:$H$156,"",0)</f>
        <v xml:space="preserve"> </v>
      </c>
    </row>
    <row r="117" spans="1:12" ht="17.25" x14ac:dyDescent="0.3">
      <c r="A117" s="46">
        <v>2</v>
      </c>
      <c r="C117" s="129" t="s">
        <v>69</v>
      </c>
      <c r="D117" s="131" t="s">
        <v>3</v>
      </c>
      <c r="E117" s="131">
        <f>COUNTIFS('Falls Data Entry'!$H$6:$H$423,"&lt;&gt;"&amp;" ",'Falls Data Entry'!$N$6:$N$423,"="&amp;"Bathroom",'Falls Data Entry'!$H$6:$H$423,"&gt;="&amp;DATE(YEAR('Time Location Falls Summary'!$E$7),MONTH('Time Location Falls Summary'!$E$7),1),'Falls Data Entry'!$H$6:$H$423,"&lt;="&amp;EOMONTH(DATE(YEAR('Time Location Falls Summary'!$E$7),MONTH('Time Location Falls Summary'!$E$7),1),0))</f>
        <v>0</v>
      </c>
      <c r="F117" s="131" t="str">
        <f>IFERROR(E117/($E$113+$E$117+$E$121+$E$125+$E$129+$E$133+$E$137+$E$141+$E$145+$E$149+$E$153)," ")</f>
        <v xml:space="preserve"> </v>
      </c>
      <c r="G117" s="131">
        <f>COUNTIFS('Falls Data Entry'!$H$6:$H$423,"&lt;&gt;"&amp;" ",'Falls Data Entry'!$N$6:$N$423,"="&amp;"Bathroom",'Falls Data Entry'!$H$6:$H$423,"&gt;="&amp;DATE(YEAR(VALUE('Time Location Falls Summary'!$E$8)),1,1),'Falls Data Entry'!$H$6:$H$423,"&lt;="&amp;DATE(YEAR(VALUE('Time Location Falls Summary'!$E$8)),12,31))</f>
        <v>0</v>
      </c>
      <c r="H117" s="131" t="str">
        <f>IFERROR(G117/($G$113+$G$117+$G$121+$G$125+$G$129+$G$133+$G$137+$G$141+$G$145+$G$149+$G$153)," ")</f>
        <v xml:space="preserve"> </v>
      </c>
      <c r="I117" s="7"/>
      <c r="J117" s="84" t="str">
        <f>IF(ISNONTEXT($G$5),"",$G$5)</f>
        <v>Unit 3</v>
      </c>
      <c r="K117" s="86" t="str" cm="1">
        <f t="array" ref="K117">_xlfn.XLOOKUP(J117&amp;$L$113,$D$113:$D$156&amp;$A$113:$A$156,$F$113:$F$156,"",0)</f>
        <v xml:space="preserve"> </v>
      </c>
      <c r="L117" s="86" t="str" cm="1">
        <f t="array" ref="L117">_xlfn.XLOOKUP(J117&amp;$L$113,$D$113:$D$156&amp;$A$113:$A$156,$H$113:$H$156,"",0)</f>
        <v xml:space="preserve"> </v>
      </c>
    </row>
    <row r="118" spans="1:12" ht="17.25" x14ac:dyDescent="0.3">
      <c r="A118" s="46">
        <v>2</v>
      </c>
      <c r="C118" s="83"/>
      <c r="D118" s="84" t="str">
        <f>IF(ISNONTEXT('Falls Summary'!$E$5),"",'Falls Summary'!$E$5)</f>
        <v>Unit 1</v>
      </c>
      <c r="E118" s="22">
        <f>COUNTIFS('Falls Data Entry'!$H$6:$H$423,"&lt;&gt;"&amp;" ",'Falls Data Entry'!$N$6:$N$423,"="&amp;"Bathroom",'Falls Data Entry'!$H$6:$H$423,"&gt;="&amp;DATE(YEAR('Time Location Falls Summary'!$E$7),MONTH('Time Location Falls Summary'!$E$7),1),'Falls Data Entry'!$H$6:$H$423,"&lt;="&amp;EOMONTH(DATE(YEAR('Time Location Falls Summary'!$E$7),MONTH('Time Location Falls Summary'!$E$7),1),0),'Falls Data Entry'!$A$6:$A$423,D118)</f>
        <v>0</v>
      </c>
      <c r="F118" s="82" t="str">
        <f>IFERROR(E118/($E$114+$E$118+$E$122+$E$126+$E$130+$E$134+$E$138+$E$142+$E$146+$E$150+$E$154)," ")</f>
        <v xml:space="preserve"> </v>
      </c>
      <c r="G118" s="22">
        <f>COUNTIFS('Falls Data Entry'!$H$6:$H$423,"&lt;&gt;"&amp;" ",'Falls Data Entry'!$N$6:$N$423,"="&amp;"Bathroom",'Falls Data Entry'!$H$6:$H$423,"&gt;="&amp;DATE(YEAR(VALUE('Time Location Falls Summary'!$E$8)),1,1),'Falls Data Entry'!$H$6:$H$423,"&lt;="&amp;DATE(YEAR(VALUE('Time Location Falls Summary'!$E$8)),12,31),'Falls Data Entry'!$A$6:$A$423,D118)</f>
        <v>0</v>
      </c>
      <c r="H118" s="82" t="str">
        <f>IFERROR(G118/($G$114+$G$118+$G$122+$G$126+$G$130+$G$134+$G$138+$G$142+$G$146+$G$150+$G$154)," ")</f>
        <v xml:space="preserve"> </v>
      </c>
      <c r="I118" s="7"/>
      <c r="J118" s="84" t="s">
        <v>3</v>
      </c>
      <c r="K118" s="45" t="str" cm="1">
        <f t="array" ref="K118">_xlfn.XLOOKUP(J118&amp;$L$113,$D$113:$D$156&amp;$A$113:$A$156,$F$113:$F$156,"",0)</f>
        <v xml:space="preserve"> </v>
      </c>
      <c r="L118" s="45" t="str" cm="1">
        <f t="array" ref="L118">_xlfn.XLOOKUP(J118&amp;$L$113,$D$113:$D$156&amp;$A$113:$A$156,$H$113:$H$156,"",0)</f>
        <v xml:space="preserve"> </v>
      </c>
    </row>
    <row r="119" spans="1:12" ht="17.25" x14ac:dyDescent="0.3">
      <c r="A119" s="46">
        <v>2</v>
      </c>
      <c r="C119" s="83"/>
      <c r="D119" s="84" t="str">
        <f>IF(ISNONTEXT('Falls Summary'!$F$5),"",'Falls Summary'!$F$5)</f>
        <v>Unit 2</v>
      </c>
      <c r="E119" s="22">
        <f>COUNTIFS('Falls Data Entry'!$H$6:$H$423,"&lt;&gt;"&amp;" ",'Falls Data Entry'!$N$6:$N$423,"="&amp;"Bathroom",'Falls Data Entry'!$H$6:$H$423,"&gt;="&amp;DATE(YEAR('Time Location Falls Summary'!$E$7),MONTH('Time Location Falls Summary'!$E$7),1),'Falls Data Entry'!$H$6:$H$423,"&lt;="&amp;EOMONTH(DATE(YEAR('Time Location Falls Summary'!$E$7),MONTH('Time Location Falls Summary'!$E$7),1),0),'Falls Data Entry'!$A$6:$A$423,D119)</f>
        <v>0</v>
      </c>
      <c r="F119" s="82" t="str">
        <f>IFERROR(E119/($E$115+$E$119+$E$123+$E$127+$E$131+$E$135+$E$139+$E$143+$E$147+$E$151+$E$155)," ")</f>
        <v xml:space="preserve"> </v>
      </c>
      <c r="G119" s="22">
        <f>COUNTIFS('Falls Data Entry'!$H$6:$H$423,"&lt;&gt;"&amp;" ",'Falls Data Entry'!$N$6:$N$423,"="&amp;"Bathroom",'Falls Data Entry'!$H$6:$H$423,"&gt;="&amp;DATE(YEAR(VALUE('Time Location Falls Summary'!$E$8)),1,1),'Falls Data Entry'!$H$6:$H$423,"&lt;="&amp;DATE(YEAR(VALUE('Time Location Falls Summary'!$E$8)),12,31),'Falls Data Entry'!$A$6:$A$423,D119)</f>
        <v>0</v>
      </c>
      <c r="H119" s="82" t="str">
        <f>IFERROR(G119/($G$115+$G$119+$G$123+$G$127+$G$131+$G$135+$G$139+$G$143+$G$147+$G$151+$G$155)," ")</f>
        <v xml:space="preserve"> </v>
      </c>
      <c r="I119" s="7"/>
      <c r="J119" s="7"/>
      <c r="K119" s="7"/>
      <c r="L119" s="7"/>
    </row>
    <row r="120" spans="1:12" ht="17.25" x14ac:dyDescent="0.3">
      <c r="A120" s="46">
        <v>2</v>
      </c>
      <c r="C120" s="83"/>
      <c r="D120" s="84" t="str">
        <f>IF(ISNONTEXT('Falls Summary'!$G$5),"",'Falls Summary'!$G$5)</f>
        <v>Unit 3</v>
      </c>
      <c r="E120" s="22">
        <f>COUNTIFS('Falls Data Entry'!$H$6:$H$423,"&lt;&gt;"&amp;" ",'Falls Data Entry'!$N$6:$N$423,"="&amp;"Bathroom",'Falls Data Entry'!$H$6:$H$423,"&gt;="&amp;DATE(YEAR('Time Location Falls Summary'!$E$7),MONTH('Time Location Falls Summary'!$E$7),1),'Falls Data Entry'!$H$6:$H$423,"&lt;="&amp;EOMONTH(DATE(YEAR('Time Location Falls Summary'!$E$7),MONTH('Time Location Falls Summary'!$E$7),1),0),'Falls Data Entry'!$A$6:$A$423,D120)</f>
        <v>0</v>
      </c>
      <c r="F120" s="82" t="str">
        <f>IFERROR(E120/($E$116+$E$120+$E$124+$E$128+$E$132+$E$136+$E$140+$E$144+$E$148+$E$152+$E$156)," ")</f>
        <v xml:space="preserve"> </v>
      </c>
      <c r="G120" s="22">
        <f>COUNTIFS('Falls Data Entry'!$H$6:$H$423,"&lt;&gt;"&amp;" ",'Falls Data Entry'!$N$6:$N$423,"="&amp;"In Room",'Falls Data Entry'!$H$6:$H$423,"&gt;="&amp;DATE(YEAR(VALUE('Time Location Falls Summary'!$E$8)),1,1),'Falls Data Entry'!$H$6:$H$423,"&lt;="&amp;DATE(YEAR(VALUE('Time Location Falls Summary'!$E$8)),12,31),'Falls Data Entry'!$A$6:$A$423,D120)</f>
        <v>0</v>
      </c>
      <c r="H120" s="82" t="str">
        <f>IFERROR(G120/($G$116+$G$120+$G$124+$G$128+$G$132+$G$136+$G$140+$G$144+$G$148+$G$152+$G$156)," ")</f>
        <v xml:space="preserve"> </v>
      </c>
      <c r="I120" s="7"/>
      <c r="J120" s="7"/>
      <c r="K120" s="7"/>
      <c r="L120" s="7"/>
    </row>
    <row r="121" spans="1:12" ht="17.25" x14ac:dyDescent="0.3">
      <c r="A121" s="46">
        <v>3</v>
      </c>
      <c r="C121" s="129" t="s">
        <v>70</v>
      </c>
      <c r="D121" s="131" t="s">
        <v>3</v>
      </c>
      <c r="E121" s="131">
        <f>COUNTIFS('Falls Data Entry'!$H$6:$H$423,"&lt;&gt;"&amp;" ",'Falls Data Entry'!$N$6:$N$423,"="&amp;"Hallway",'Falls Data Entry'!$H$6:$H$423,"&gt;="&amp;DATE(YEAR('Time Location Falls Summary'!$E$7),MONTH('Time Location Falls Summary'!$E$7),1),'Falls Data Entry'!$H$6:$H$423,"&lt;="&amp;EOMONTH(DATE(YEAR('Time Location Falls Summary'!$E$7),MONTH('Time Location Falls Summary'!$E$7),1),0))</f>
        <v>0</v>
      </c>
      <c r="F121" s="131" t="str">
        <f>IFERROR(E121/($E$113+$E$117+$E$121+$E$125+$E$129+$E$133+$E$137+$E$141+$E$145+$E$149+$E$153)," ")</f>
        <v xml:space="preserve"> </v>
      </c>
      <c r="G121" s="131">
        <f>COUNTIFS('Falls Data Entry'!$H$6:$H$423,"&lt;&gt;"&amp;" ",'Falls Data Entry'!$N$6:$N$423,"="&amp;"Hallway",'Falls Data Entry'!$H$6:$H$423,"&gt;="&amp;DATE(YEAR(VALUE('Time Location Falls Summary'!$E$8)),1,1),'Falls Data Entry'!$H$6:$H$423,"&lt;="&amp;DATE(YEAR(VALUE('Time Location Falls Summary'!$E$8)),12,31))</f>
        <v>0</v>
      </c>
      <c r="H121" s="131" t="str">
        <f>IFERROR(G121/($G$113+$G$117+$G$121+$G$125+$G$129+$G$133+$G$137+$G$141+$G$145+$G$149+$G$153)," ")</f>
        <v xml:space="preserve"> </v>
      </c>
      <c r="I121" s="7"/>
      <c r="J121" s="7"/>
      <c r="K121" s="7"/>
      <c r="L121" s="7"/>
    </row>
    <row r="122" spans="1:12" ht="17.25" x14ac:dyDescent="0.3">
      <c r="A122" s="46">
        <v>3</v>
      </c>
      <c r="C122" s="83"/>
      <c r="D122" s="84" t="str">
        <f>IF(ISNONTEXT('Falls Summary'!$E$5),"",'Falls Summary'!$E$5)</f>
        <v>Unit 1</v>
      </c>
      <c r="E122" s="22">
        <f>COUNTIFS('Falls Data Entry'!$H$6:$H$423,"&lt;&gt;"&amp;" ",'Falls Data Entry'!$N$6:$N$423,"="&amp;"Hallway",'Falls Data Entry'!$H$6:$H$423,"&gt;="&amp;DATE(YEAR('Time Location Falls Summary'!$E$7),MONTH('Time Location Falls Summary'!$E$7),1),'Falls Data Entry'!$H$6:$H$423,"&lt;="&amp;EOMONTH(DATE(YEAR('Time Location Falls Summary'!$E$7),MONTH('Time Location Falls Summary'!$E$7),1),0),'Falls Data Entry'!$A$6:$A$423,D122)</f>
        <v>0</v>
      </c>
      <c r="F122" s="82" t="str">
        <f>IFERROR(E122/($E$114+$E$118+$E$122+$E$126+$E$130+$E$134+$E$138+$E$142+$E$146+$E$150+$E$154)," ")</f>
        <v xml:space="preserve"> </v>
      </c>
      <c r="G122" s="22">
        <f>COUNTIFS('Falls Data Entry'!$H$6:$H$423,"&lt;&gt;"&amp;" ",'Falls Data Entry'!$N$6:$N$423,"="&amp;"Hallway",'Falls Data Entry'!$H$6:$H$423,"&gt;="&amp;DATE(YEAR(VALUE('Time Location Falls Summary'!$E$8)),1,1),'Falls Data Entry'!$H$6:$H$423,"&lt;="&amp;DATE(YEAR(VALUE('Time Location Falls Summary'!$E$8)),12,31),'Falls Data Entry'!$A$6:$A$423,D122)</f>
        <v>0</v>
      </c>
      <c r="H122" s="82" t="str">
        <f>IFERROR(G122/($G$114+$G$118+$G$122+$G$126+$G$130+$G$134+$G$138+$G$142+$G$146+$G$150+$G$154)," ")</f>
        <v xml:space="preserve"> </v>
      </c>
      <c r="I122" s="7"/>
      <c r="J122" s="7"/>
      <c r="K122" s="7"/>
      <c r="L122" s="7"/>
    </row>
    <row r="123" spans="1:12" ht="17.25" x14ac:dyDescent="0.3">
      <c r="A123" s="46">
        <v>3</v>
      </c>
      <c r="C123" s="83"/>
      <c r="D123" s="84" t="str">
        <f>IF(ISNONTEXT('Falls Summary'!$F$5),"",'Falls Summary'!$F$5)</f>
        <v>Unit 2</v>
      </c>
      <c r="E123" s="22">
        <f>COUNTIFS('Falls Data Entry'!$H$6:$H$423,"&lt;&gt;"&amp;" ",'Falls Data Entry'!$N$6:$N$423,"="&amp;"Hallway",'Falls Data Entry'!$H$6:$H$423,"&gt;="&amp;DATE(YEAR('Time Location Falls Summary'!$E$7),MONTH('Time Location Falls Summary'!$E$7),1),'Falls Data Entry'!$H$6:$H$423,"&lt;="&amp;EOMONTH(DATE(YEAR('Time Location Falls Summary'!$E$7),MONTH('Time Location Falls Summary'!$E$7),1),0),'Falls Data Entry'!$A$6:$A$423,D123)</f>
        <v>0</v>
      </c>
      <c r="F123" s="82" t="str">
        <f>IFERROR(E123/($E$115+$E$119+$E$123+$E$127+$E$131+$E$135+$E$139+$E$143+$E$147+$E$151+$E$155)," ")</f>
        <v xml:space="preserve"> </v>
      </c>
      <c r="G123" s="22">
        <f>COUNTIFS('Falls Data Entry'!$H$6:$H$423,"&lt;&gt;"&amp;" ",'Falls Data Entry'!$N$6:$N$423,"="&amp;"Hallway",'Falls Data Entry'!$H$6:$H$423,"&gt;="&amp;DATE(YEAR(VALUE('Time Location Falls Summary'!$E$8)),1,1),'Falls Data Entry'!$H$6:$H$423,"&lt;="&amp;DATE(YEAR(VALUE('Time Location Falls Summary'!$E$8)),12,31),'Falls Data Entry'!$A$6:$A$423,D123)</f>
        <v>0</v>
      </c>
      <c r="H123" s="82" t="str">
        <f>IFERROR(G123/($G$115+$G$119+$G$123+$G$127+$G$131+$G$135+$G$139+$G$143+$G$147+$G$151+$G$155)," ")</f>
        <v xml:space="preserve"> </v>
      </c>
      <c r="I123" s="7"/>
      <c r="J123" s="7"/>
      <c r="K123" s="7"/>
      <c r="L123" s="7"/>
    </row>
    <row r="124" spans="1:12" ht="17.25" x14ac:dyDescent="0.3">
      <c r="A124" s="46">
        <v>3</v>
      </c>
      <c r="C124" s="83"/>
      <c r="D124" s="84" t="str">
        <f>IF(ISNONTEXT('Falls Summary'!$G$5),"",'Falls Summary'!$G$5)</f>
        <v>Unit 3</v>
      </c>
      <c r="E124" s="22">
        <f>COUNTIFS('Falls Data Entry'!$H$6:$H$423,"&lt;&gt;"&amp;" ",'Falls Data Entry'!$N$6:$N$423,"="&amp;"Hallway",'Falls Data Entry'!$H$6:$H$423,"&gt;="&amp;DATE(YEAR('Time Location Falls Summary'!$E$7),MONTH('Time Location Falls Summary'!$E$7),1),'Falls Data Entry'!$H$6:$H$423,"&lt;="&amp;EOMONTH(DATE(YEAR('Time Location Falls Summary'!$E$7),MONTH('Time Location Falls Summary'!$E$7),1),0),'Falls Data Entry'!$A$6:$A$423,D124)</f>
        <v>0</v>
      </c>
      <c r="F124" s="82" t="str">
        <f>IFERROR(E124/($E$116+$E$120+$E$124+$E$128+$E$132+$E$136+$E$140+$E$144+$E$148+$E$152+$E$156)," ")</f>
        <v xml:space="preserve"> </v>
      </c>
      <c r="G124" s="22">
        <f>COUNTIFS('Falls Data Entry'!$H$6:$H$423,"&lt;&gt;"&amp;" ",'Falls Data Entry'!$N$6:$N$423,"="&amp;"Hallway",'Falls Data Entry'!$H$6:$H$423,"&gt;="&amp;DATE(YEAR(VALUE('Time Location Falls Summary'!$E$8)),1,1),'Falls Data Entry'!$H$6:$H$423,"&lt;="&amp;DATE(YEAR(VALUE('Time Location Falls Summary'!$E$8)),12,31),'Falls Data Entry'!$A$6:$A$423,D124)</f>
        <v>0</v>
      </c>
      <c r="H124" s="82" t="str">
        <f>IFERROR(G124/($G$116+$G$120+$G$124+$G$128+$G$132+$G$136+$G$140+$G$144+$G$148+$G$152+$G$156)," ")</f>
        <v xml:space="preserve"> </v>
      </c>
      <c r="I124" s="7"/>
      <c r="J124" s="7"/>
      <c r="K124" s="7"/>
      <c r="L124" s="7"/>
    </row>
    <row r="125" spans="1:12" ht="17.25" x14ac:dyDescent="0.3">
      <c r="A125" s="46">
        <v>4</v>
      </c>
      <c r="C125" s="129" t="s">
        <v>71</v>
      </c>
      <c r="D125" s="131" t="s">
        <v>3</v>
      </c>
      <c r="E125" s="131">
        <f>COUNTIFS('Falls Data Entry'!$H$6:$H$423,"&lt;&gt;"&amp;" ",'Falls Data Entry'!$N$6:$N$423,"="&amp;"Dining Room",'Falls Data Entry'!$H$6:$H$423,"&gt;="&amp;DATE(YEAR('Time Location Falls Summary'!$E$7),MONTH('Time Location Falls Summary'!$E$7),1),'Falls Data Entry'!$H$6:$H$423,"&lt;="&amp;EOMONTH(DATE(YEAR('Time Location Falls Summary'!$E$7),MONTH('Time Location Falls Summary'!$E$7),1),0))</f>
        <v>0</v>
      </c>
      <c r="F125" s="131" t="str">
        <f>IFERROR(E125/($E$113+$E$117+$E$121+$E$125+$E$129+$E$133+$E$137+$E$141+$E$145+$E$149+$E$153)," ")</f>
        <v xml:space="preserve"> </v>
      </c>
      <c r="G125" s="131">
        <f>COUNTIFS('Falls Data Entry'!$H$6:$H$423,"&lt;&gt;"&amp;" ",'Falls Data Entry'!$N$6:$N$423,"="&amp;"Dining Room",'Falls Data Entry'!$H$6:$H$423,"&gt;="&amp;DATE(YEAR(VALUE('Time Location Falls Summary'!$E$8)),1,1),'Falls Data Entry'!$H$6:$H$423,"&lt;="&amp;DATE(YEAR(VALUE('Time Location Falls Summary'!$E$8)),12,31))</f>
        <v>0</v>
      </c>
      <c r="H125" s="131" t="str">
        <f>IFERROR(G125/($G$113+$G$117+$G$121+$G$125+$G$129+$G$133+$G$137+$G$141+$G$145+$G$149+$G$153)," ")</f>
        <v xml:space="preserve"> </v>
      </c>
      <c r="I125" s="7"/>
      <c r="J125" s="7"/>
      <c r="K125" s="7"/>
      <c r="L125" s="7"/>
    </row>
    <row r="126" spans="1:12" ht="17.25" x14ac:dyDescent="0.3">
      <c r="A126" s="46">
        <v>4</v>
      </c>
      <c r="C126" s="87"/>
      <c r="D126" s="84" t="str">
        <f>IF(ISNONTEXT('Falls Summary'!$E$5),"",'Falls Summary'!$E$5)</f>
        <v>Unit 1</v>
      </c>
      <c r="E126" s="22">
        <f>COUNTIFS('Falls Data Entry'!$H$6:$H$423,"&lt;&gt;"&amp;" ",'Falls Data Entry'!$N$6:$N$423,"="&amp;"Dining Room",'Falls Data Entry'!$H$6:$H$423,"&gt;="&amp;DATE(YEAR('Time Location Falls Summary'!$E$7),MONTH('Time Location Falls Summary'!$E$7),1),'Falls Data Entry'!$H$6:$H$423,"&lt;="&amp;EOMONTH(DATE(YEAR('Time Location Falls Summary'!$E$7),MONTH('Time Location Falls Summary'!$E$7),1),0),'Falls Data Entry'!$A$6:$A$423,D126)</f>
        <v>0</v>
      </c>
      <c r="F126" s="82" t="str">
        <f>IFERROR(E126/($E$114+$E$118+$E$122+$E$126+$E$130+$E$134+$E$138+$E$142+$E$146+$E$150+$E$154)," ")</f>
        <v xml:space="preserve"> </v>
      </c>
      <c r="G126" s="22">
        <f>COUNTIFS('Falls Data Entry'!$H$6:$H$423,"&lt;&gt;"&amp;" ",'Falls Data Entry'!$N$6:$N$423,"="&amp;"Dining Room",'Falls Data Entry'!$H$6:$H$423,"&gt;="&amp;DATE(YEAR(VALUE('Time Location Falls Summary'!$E$8)),1,1),'Falls Data Entry'!$H$6:$H$423,"&lt;="&amp;DATE(YEAR(VALUE('Time Location Falls Summary'!$E$8)),12,31),'Falls Data Entry'!$A$6:$A$423,D126)</f>
        <v>0</v>
      </c>
      <c r="H126" s="82" t="str">
        <f>IFERROR(G126/($G$114+$G$118+$G$122+$G$126+$G$130+$G$134+$G$138+$G$142+$G$146+$G$150+$G$154)," ")</f>
        <v xml:space="preserve"> </v>
      </c>
      <c r="I126" s="7"/>
      <c r="J126" s="7"/>
      <c r="K126" s="7"/>
      <c r="L126" s="7"/>
    </row>
    <row r="127" spans="1:12" ht="17.25" x14ac:dyDescent="0.3">
      <c r="A127" s="46">
        <v>4</v>
      </c>
      <c r="C127" s="87"/>
      <c r="D127" s="84" t="str">
        <f>IF(ISNONTEXT('Falls Summary'!$F$5),"",'Falls Summary'!$F$5)</f>
        <v>Unit 2</v>
      </c>
      <c r="E127" s="22">
        <f>COUNTIFS('Falls Data Entry'!$H$6:$H$423,"&lt;&gt;"&amp;" ",'Falls Data Entry'!$N$6:$N$423,"="&amp;"Dining Room",'Falls Data Entry'!$H$6:$H$423,"&gt;="&amp;DATE(YEAR('Time Location Falls Summary'!$E$7),MONTH('Time Location Falls Summary'!$E$7),1),'Falls Data Entry'!$H$6:$H$423,"&lt;="&amp;EOMONTH(DATE(YEAR('Time Location Falls Summary'!$E$7),MONTH('Time Location Falls Summary'!$E$7),1),0),'Falls Data Entry'!$A$6:$A$423,D127)</f>
        <v>0</v>
      </c>
      <c r="F127" s="82" t="str">
        <f>IFERROR(E127/($E$115+$E$119+$E$123+$E$127+$E$131+$E$135+$E$139+$E$143+$E$147+$E$151+$E$155)," ")</f>
        <v xml:space="preserve"> </v>
      </c>
      <c r="G127" s="22">
        <f>COUNTIFS('Falls Data Entry'!$H$6:$H$423,"&lt;&gt;"&amp;" ",'Falls Data Entry'!$N$6:$N$423,"="&amp;"Dining Room",'Falls Data Entry'!$H$6:$H$423,"&gt;="&amp;DATE(YEAR(VALUE('Time Location Falls Summary'!$E$8)),1,1),'Falls Data Entry'!$H$6:$H$423,"&lt;="&amp;DATE(YEAR(VALUE('Time Location Falls Summary'!$E$8)),12,31),'Falls Data Entry'!$A$6:$A$423,D127)</f>
        <v>0</v>
      </c>
      <c r="H127" s="82" t="str">
        <f>IFERROR(G127/($G$115+$G$119+$G$123+$G$127+$G$131+$G$135+$G$139+$G$143+$G$147+$G$151+$G$155)," ")</f>
        <v xml:space="preserve"> </v>
      </c>
      <c r="I127" s="7"/>
      <c r="J127" s="7"/>
      <c r="K127" s="7"/>
      <c r="L127" s="7"/>
    </row>
    <row r="128" spans="1:12" ht="17.25" x14ac:dyDescent="0.3">
      <c r="A128" s="46">
        <v>4</v>
      </c>
      <c r="C128" s="87"/>
      <c r="D128" s="84" t="str">
        <f>IF(ISNONTEXT('Falls Summary'!$G$5),"",'Falls Summary'!$G$5)</f>
        <v>Unit 3</v>
      </c>
      <c r="E128" s="22">
        <f>COUNTIFS('Falls Data Entry'!$H$6:$H$423,"&lt;&gt;"&amp;" ",'Falls Data Entry'!$N$6:$N$423,"="&amp;"Dining Room",'Falls Data Entry'!$H$6:$H$423,"&gt;="&amp;DATE(YEAR('Time Location Falls Summary'!$E$7),MONTH('Time Location Falls Summary'!$E$7),1),'Falls Data Entry'!$H$6:$H$423,"&lt;="&amp;EOMONTH(DATE(YEAR('Time Location Falls Summary'!$E$7),MONTH('Time Location Falls Summary'!$E$7),1),0),'Falls Data Entry'!$A$6:$A$423,D128)</f>
        <v>0</v>
      </c>
      <c r="F128" s="82" t="str">
        <f>IFERROR(E128/($E$116+$E$120+$E$124+$E$128+$E$132+$E$136+$E$140+$E$144+$E$148+$E$152+$E$156)," ")</f>
        <v xml:space="preserve"> </v>
      </c>
      <c r="G128" s="22">
        <f>COUNTIFS('Falls Data Entry'!$H$6:$H$423,"&lt;&gt;"&amp;" ",'Falls Data Entry'!$N$6:$N$423,"="&amp;"Dining Room",'Falls Data Entry'!$H$6:$H$423,"&gt;="&amp;DATE(YEAR(VALUE('Time Location Falls Summary'!$E$8)),1,1),'Falls Data Entry'!$H$6:$H$423,"&lt;="&amp;DATE(YEAR(VALUE('Time Location Falls Summary'!$E$8)),12,31),'Falls Data Entry'!$A$6:$A$423,D128)</f>
        <v>0</v>
      </c>
      <c r="H128" s="82" t="str">
        <f>IFERROR(G128/($G$116+$G$120+$G$124+$G$128+$G$132+$G$136+$G$140+$G$144+$G$148+$G$152+$G$156)," ")</f>
        <v xml:space="preserve"> </v>
      </c>
      <c r="I128" s="7"/>
      <c r="J128" s="7"/>
      <c r="K128" s="7"/>
      <c r="L128" s="7"/>
    </row>
    <row r="129" spans="1:8" ht="17.25" x14ac:dyDescent="0.3">
      <c r="A129" s="46">
        <v>4.5</v>
      </c>
      <c r="C129" s="129" t="s">
        <v>72</v>
      </c>
      <c r="D129" s="131" t="s">
        <v>3</v>
      </c>
      <c r="E129" s="131">
        <f>COUNTIFS('Falls Data Entry'!$H$6:$H$423,"&lt;&gt;"&amp;" ",'Falls Data Entry'!$N$6:$N$423,"="&amp;"Activities",'Falls Data Entry'!$H$6:$H$423,"&gt;="&amp;DATE(YEAR('Time Location Falls Summary'!$E$7),MONTH('Time Location Falls Summary'!$E$7),1),'Falls Data Entry'!$H$6:$H$423,"&lt;="&amp;EOMONTH(DATE(YEAR('Time Location Falls Summary'!$E$7),MONTH('Time Location Falls Summary'!$E$7),1),0))</f>
        <v>0</v>
      </c>
      <c r="F129" s="131" t="str">
        <f>IFERROR(E129/($E$113+$E$117+$E$121+$E$125+$E$129+$E$133+$E$137+$E$141+$E$145+$E$149+$E$153)," ")</f>
        <v xml:space="preserve"> </v>
      </c>
      <c r="G129" s="131">
        <f>COUNTIFS('Falls Data Entry'!$H$6:$H$423,"&lt;&gt;"&amp;" ",'Falls Data Entry'!$N$6:$N$423,"="&amp;"Activities",'Falls Data Entry'!$H$6:$H$423,"&gt;="&amp;DATE(YEAR(VALUE('Time Location Falls Summary'!$E$8)),1,1),'Falls Data Entry'!$H$6:$H$423,"&lt;="&amp;DATE(YEAR(VALUE('Time Location Falls Summary'!$E$8)),12,31))</f>
        <v>0</v>
      </c>
      <c r="H129" s="131" t="str">
        <f>IFERROR(G129/($G$113+$G$117+$G$121+$G$125+$G$129+$G$133+$G$137+$G$141+$G$145+$G$149+$G$153)," ")</f>
        <v xml:space="preserve"> </v>
      </c>
    </row>
    <row r="130" spans="1:8" ht="17.25" x14ac:dyDescent="0.3">
      <c r="A130" s="46">
        <v>4.7352941176470598</v>
      </c>
      <c r="C130" s="83"/>
      <c r="D130" s="84" t="str">
        <f>IF(ISNONTEXT('Falls Summary'!$E$5),"",'Falls Summary'!$E$5)</f>
        <v>Unit 1</v>
      </c>
      <c r="E130" s="22">
        <f>COUNTIFS('Falls Data Entry'!$H$6:$H$423,"&lt;&gt;"&amp;" ",'Falls Data Entry'!$N$6:$N$423,"="&amp;"Activities",'Falls Data Entry'!$H$6:$H$423,"&gt;="&amp;DATE(YEAR('Time Location Falls Summary'!$E$7),MONTH('Time Location Falls Summary'!$E$7),1),'Falls Data Entry'!$H$6:$H$423,"&lt;="&amp;EOMONTH(DATE(YEAR('Time Location Falls Summary'!$E$7),MONTH('Time Location Falls Summary'!$E$7),1),0),'Falls Data Entry'!$A$6:$A$423,D130)</f>
        <v>0</v>
      </c>
      <c r="F130" s="82" t="str">
        <f>IFERROR(E130/($E$114+$E$118+$E$122+$E$126+$E$130+$E$134+$E$138+$E$142+$E$146+$E$150+$E$154)," ")</f>
        <v xml:space="preserve"> </v>
      </c>
      <c r="G130" s="22">
        <f>COUNTIFS('Falls Data Entry'!$H$6:$H$423,"&lt;&gt;"&amp;" ",'Falls Data Entry'!$N$6:$N$423,"="&amp;"Activities",'Falls Data Entry'!$H$6:$H$423,"&gt;="&amp;DATE(YEAR(VALUE('Time Location Falls Summary'!$E$8)),1,1),'Falls Data Entry'!$H$6:$H$423,"&lt;="&amp;DATE(YEAR(VALUE('Time Location Falls Summary'!$E$8)),12,31),'Falls Data Entry'!$A$6:$A$423,D130)</f>
        <v>0</v>
      </c>
      <c r="H130" s="82" t="str">
        <f>IFERROR(G130/($G$114+$G$118+$G$122+$G$126+$G$130+$G$134+$G$138+$G$142+$G$146+$G$150+$G$154)," ")</f>
        <v xml:space="preserve"> </v>
      </c>
    </row>
    <row r="131" spans="1:8" ht="17.25" x14ac:dyDescent="0.3">
      <c r="A131" s="46">
        <v>4.9705882352941204</v>
      </c>
      <c r="C131" s="83"/>
      <c r="D131" s="84" t="str">
        <f>IF(ISNONTEXT('Falls Summary'!$F$5),"",'Falls Summary'!$F$5)</f>
        <v>Unit 2</v>
      </c>
      <c r="E131" s="22">
        <f>COUNTIFS('Falls Data Entry'!$H$6:$H$423,"&lt;&gt;"&amp;" ",'Falls Data Entry'!$N$6:$N$423,"="&amp;"Activities",'Falls Data Entry'!$H$6:$H$423,"&gt;="&amp;DATE(YEAR('Time Location Falls Summary'!$E$7),MONTH('Time Location Falls Summary'!$E$7),1),'Falls Data Entry'!$H$6:$H$423,"&lt;="&amp;EOMONTH(DATE(YEAR('Time Location Falls Summary'!$E$7),MONTH('Time Location Falls Summary'!$E$7),1),0),'Falls Data Entry'!$A$6:$A$423,D131)</f>
        <v>0</v>
      </c>
      <c r="F131" s="82" t="str">
        <f>IFERROR(E131/($E$115+$E$119+$E$123+$E$127+$E$131+$E$135+$E$139+$E$143+$E$147+$E$151+$E$155)," ")</f>
        <v xml:space="preserve"> </v>
      </c>
      <c r="G131" s="22">
        <f>COUNTIFS('Falls Data Entry'!$H$6:$H$423,"&lt;&gt;"&amp;" ",'Falls Data Entry'!$N$6:$N$423,"="&amp;"Activities",'Falls Data Entry'!$H$6:$H$423,"&gt;="&amp;DATE(YEAR(VALUE('Time Location Falls Summary'!$E$8)),1,1),'Falls Data Entry'!$H$6:$H$423,"&lt;="&amp;DATE(YEAR(VALUE('Time Location Falls Summary'!$E$8)),12,31),'Falls Data Entry'!$A$6:$A$423,D131)</f>
        <v>0</v>
      </c>
      <c r="H131" s="82" t="str">
        <f>IFERROR(G131/($G$115+$G$119+$G$123+$G$127+$G$131+$G$135+$G$139+$G$143+$G$147+$G$151+$G$155)," ")</f>
        <v xml:space="preserve"> </v>
      </c>
    </row>
    <row r="132" spans="1:8" ht="17.25" x14ac:dyDescent="0.3">
      <c r="A132" s="46">
        <v>5.2058823529411802</v>
      </c>
      <c r="C132" s="83"/>
      <c r="D132" s="84" t="str">
        <f>IF(ISNONTEXT('Falls Summary'!$G$5),"",'Falls Summary'!$G$5)</f>
        <v>Unit 3</v>
      </c>
      <c r="E132" s="22">
        <f>COUNTIFS('Falls Data Entry'!$H$6:$H$423,"&lt;&gt;"&amp;" ",'Falls Data Entry'!$N$6:$N$423,"="&amp;"Activities",'Falls Data Entry'!$H$6:$H$423,"&gt;="&amp;DATE(YEAR('Time Location Falls Summary'!$E$7),MONTH('Time Location Falls Summary'!$E$7),1),'Falls Data Entry'!$H$6:$H$423,"&lt;="&amp;EOMONTH(DATE(YEAR('Time Location Falls Summary'!$E$7),MONTH('Time Location Falls Summary'!$E$7),1),0),'Falls Data Entry'!$A$6:$A$423,D132)</f>
        <v>0</v>
      </c>
      <c r="F132" s="82" t="str">
        <f>IFERROR(E132/($E$116+$E$120+$E$124+$E$128+$E$132+$E$136+$E$140+$E$144+$E$148+$E$152+$E$156)," ")</f>
        <v xml:space="preserve"> </v>
      </c>
      <c r="G132" s="22">
        <f>COUNTIFS('Falls Data Entry'!$H$6:$H$423,"&lt;&gt;"&amp;" ",'Falls Data Entry'!$N$6:$N$423,"="&amp;"Activities",'Falls Data Entry'!$H$6:$H$423,"&gt;="&amp;DATE(YEAR(VALUE('Time Location Falls Summary'!$E$8)),1,1),'Falls Data Entry'!$H$6:$H$423,"&lt;="&amp;DATE(YEAR(VALUE('Time Location Falls Summary'!$E$8)),12,31),'Falls Data Entry'!$A$6:$A$423,D132)</f>
        <v>0</v>
      </c>
      <c r="H132" s="82" t="str">
        <f>IFERROR(G132/($G$116+$G$120+$G$124+$G$128+$G$132+$G$136+$G$140+$G$144+$G$148+$G$152+$G$156)," ")</f>
        <v xml:space="preserve"> </v>
      </c>
    </row>
    <row r="133" spans="1:8" ht="17.25" x14ac:dyDescent="0.3">
      <c r="A133" s="46">
        <v>6</v>
      </c>
      <c r="C133" s="129" t="s">
        <v>73</v>
      </c>
      <c r="D133" s="131" t="s">
        <v>3</v>
      </c>
      <c r="E133" s="131">
        <f>COUNTIFS('Falls Data Entry'!$H$6:$H$423,"&lt;&gt;"&amp;" ",'Falls Data Entry'!$N$6:$N$423,"="&amp;"Therapy",'Falls Data Entry'!$H$6:$H$423,"&gt;="&amp;DATE(YEAR('Time Location Falls Summary'!$E$7),MONTH('Time Location Falls Summary'!$E$7),1),'Falls Data Entry'!$H$6:$H$423,"&lt;="&amp;EOMONTH(DATE(YEAR('Time Location Falls Summary'!$E$7),MONTH('Time Location Falls Summary'!$E$7),1),0))</f>
        <v>0</v>
      </c>
      <c r="F133" s="131" t="str">
        <f>IFERROR(E133/($E$113+$E$117+$E$121+$E$125+$E$129+$E$133+$E$137+$E$141+$E$145+$E$149+$E$153)," ")</f>
        <v xml:space="preserve"> </v>
      </c>
      <c r="G133" s="131">
        <f>COUNTIFS('Falls Data Entry'!$H$6:$H$423,"&lt;&gt;"&amp;" ",'Falls Data Entry'!$N$6:$N$423,"="&amp;"Therapy",'Falls Data Entry'!$H$6:$H$423,"&gt;="&amp;DATE(YEAR(VALUE('Time Location Falls Summary'!$E$8)),1,1),'Falls Data Entry'!$H$6:$H$423,"&lt;="&amp;DATE(YEAR(VALUE('Time Location Falls Summary'!$E$8)),12,31))</f>
        <v>0</v>
      </c>
      <c r="H133" s="131" t="str">
        <f>IFERROR(G133/($G$113+$G$117+$G$121+$G$125+$G$129+$G$133+$G$137+$G$141+$G$145+$G$149+$G$153)," ")</f>
        <v xml:space="preserve"> </v>
      </c>
    </row>
    <row r="134" spans="1:8" ht="17.25" x14ac:dyDescent="0.3">
      <c r="A134" s="46">
        <v>5.6764705882352997</v>
      </c>
      <c r="C134" s="83"/>
      <c r="D134" s="84" t="str">
        <f>IF(ISNONTEXT('Falls Summary'!$E$5),"",'Falls Summary'!$E$5)</f>
        <v>Unit 1</v>
      </c>
      <c r="E134" s="22">
        <f>COUNTIFS('Falls Data Entry'!$H$6:$H$423,"&lt;&gt;"&amp;" ",'Falls Data Entry'!$N$6:$N$423,"="&amp;"Therapy",'Falls Data Entry'!$H$6:$H$423,"&gt;="&amp;DATE(YEAR('Time Location Falls Summary'!$E$7),MONTH('Time Location Falls Summary'!$E$7),1),'Falls Data Entry'!$H$6:$H$423,"&lt;="&amp;EOMONTH(DATE(YEAR('Time Location Falls Summary'!$E$7),MONTH('Time Location Falls Summary'!$E$7),1),0),'Falls Data Entry'!$A$6:$A$423,D134)</f>
        <v>0</v>
      </c>
      <c r="F134" s="82" t="str">
        <f>IFERROR(E134/($E$114+$E$118+$E$122+$E$126+$E$130+$E$134+$E$138+$E$142+$E$146+$E$150+$E$154)," ")</f>
        <v xml:space="preserve"> </v>
      </c>
      <c r="G134" s="22">
        <f>COUNTIFS('Falls Data Entry'!$H$6:$H$423,"&lt;&gt;"&amp;" ",'Falls Data Entry'!$N$6:$N$423,"="&amp;"Therapy",'Falls Data Entry'!$H$6:$H$423,"&gt;="&amp;DATE(YEAR(VALUE('Time Location Falls Summary'!$E$8)),1,1),'Falls Data Entry'!$H$6:$H$423,"&lt;="&amp;DATE(YEAR(VALUE('Time Location Falls Summary'!$E$8)),12,31),'Falls Data Entry'!$A$6:$A$423,D134)</f>
        <v>0</v>
      </c>
      <c r="H134" s="82" t="str">
        <f>IFERROR(G134/($G$114+$G$118+$G$122+$G$126+$G$130+$G$134+$G$138+$G$142+$G$146+$G$150+$G$154)," ")</f>
        <v xml:space="preserve"> </v>
      </c>
    </row>
    <row r="135" spans="1:8" ht="17.25" x14ac:dyDescent="0.3">
      <c r="A135" s="46">
        <v>5.9117647058823497</v>
      </c>
      <c r="C135" s="83"/>
      <c r="D135" s="84" t="str">
        <f>IF(ISNONTEXT('Falls Summary'!$F$5),"",'Falls Summary'!$F$5)</f>
        <v>Unit 2</v>
      </c>
      <c r="E135" s="22">
        <f>COUNTIFS('Falls Data Entry'!$H$6:$H$423,"&lt;&gt;"&amp;" ",'Falls Data Entry'!$N$6:$N$423,"="&amp;"Therapy",'Falls Data Entry'!$H$6:$H$423,"&gt;="&amp;DATE(YEAR('Time Location Falls Summary'!$E$7),MONTH('Time Location Falls Summary'!$E$7),1),'Falls Data Entry'!$H$6:$H$423,"&lt;="&amp;EOMONTH(DATE(YEAR('Time Location Falls Summary'!$E$7),MONTH('Time Location Falls Summary'!$E$7),1),0),'Falls Data Entry'!$A$6:$A$423,D135)</f>
        <v>0</v>
      </c>
      <c r="F135" s="82" t="str">
        <f>IFERROR(E135/($E$115+$E$119+$E$123+$E$127+$E$131+$E$135+$E$139+$E$143+$E$147+$E$151+$E$155)," ")</f>
        <v xml:space="preserve"> </v>
      </c>
      <c r="G135" s="22">
        <f>COUNTIFS('Falls Data Entry'!$H$6:$H$423,"&lt;&gt;"&amp;" ",'Falls Data Entry'!$N$6:$N$423,"="&amp;"Therapy",'Falls Data Entry'!$H$6:$H$423,"&gt;="&amp;DATE(YEAR(VALUE('Time Location Falls Summary'!$E$8)),1,1),'Falls Data Entry'!$H$6:$H$423,"&lt;="&amp;DATE(YEAR(VALUE('Time Location Falls Summary'!$E$8)),12,31),'Falls Data Entry'!$A$6:$A$423,D135)</f>
        <v>0</v>
      </c>
      <c r="H135" s="82" t="str">
        <f>IFERROR(G135/($G$115+$G$119+$G$123+$G$127+$G$131+$G$135+$G$139+$G$143+$G$147+$G$151+$G$155)," ")</f>
        <v xml:space="preserve"> </v>
      </c>
    </row>
    <row r="136" spans="1:8" ht="17.25" x14ac:dyDescent="0.3">
      <c r="A136" s="46">
        <v>6.1470588235294104</v>
      </c>
      <c r="C136" s="83"/>
      <c r="D136" s="84" t="str">
        <f>IF(ISNONTEXT('Falls Summary'!$G$5),"",'Falls Summary'!$G$5)</f>
        <v>Unit 3</v>
      </c>
      <c r="E136" s="22">
        <f>COUNTIFS('Falls Data Entry'!$H$6:$H$423,"&lt;&gt;"&amp;" ",'Falls Data Entry'!$N$6:$N$423,"="&amp;"Therapy",'Falls Data Entry'!$H$6:$H$423,"&gt;="&amp;DATE(YEAR('Time Location Falls Summary'!$E$7),MONTH('Time Location Falls Summary'!$E$7),1),'Falls Data Entry'!$H$6:$H$423,"&lt;="&amp;EOMONTH(DATE(YEAR('Time Location Falls Summary'!$E$7),MONTH('Time Location Falls Summary'!$E$7),1),0),'Falls Data Entry'!$A$6:$A$423,D136)</f>
        <v>0</v>
      </c>
      <c r="F136" s="82" t="str">
        <f>IFERROR(E136/($E$116+$E$120+$E$124+$E$128+$E$132+$E$136+$E$140+$E$144+$E$148+$E$152+$E$156)," ")</f>
        <v xml:space="preserve"> </v>
      </c>
      <c r="G136" s="22">
        <f>COUNTIFS('Falls Data Entry'!$H$6:$H$423,"&lt;&gt;"&amp;" ",'Falls Data Entry'!$N$6:$N$423,"="&amp;"Therapy",'Falls Data Entry'!$H$6:$H$423,"&gt;="&amp;DATE(YEAR(VALUE('Time Location Falls Summary'!$E$8)),1,1),'Falls Data Entry'!$H$6:$H$423,"&lt;="&amp;DATE(YEAR(VALUE('Time Location Falls Summary'!$E$8)),12,31),'Falls Data Entry'!$A$6:$A$423,D136)</f>
        <v>0</v>
      </c>
      <c r="H136" s="82" t="str">
        <f>IFERROR(G136/($G$116+$G$120+$G$124+$G$128+$G$132+$G$136+$G$140+$G$144+$G$148+$G$152+$G$156)," ")</f>
        <v xml:space="preserve"> </v>
      </c>
    </row>
    <row r="137" spans="1:8" ht="17.25" x14ac:dyDescent="0.3">
      <c r="A137" s="46">
        <v>7</v>
      </c>
      <c r="C137" s="129" t="s">
        <v>74</v>
      </c>
      <c r="D137" s="131" t="s">
        <v>3</v>
      </c>
      <c r="E137" s="131">
        <f>COUNTIFS('Falls Data Entry'!$H$6:$H$423,"&lt;&gt;"&amp;" ",'Falls Data Entry'!$N$6:$N$423,"="&amp;"Beauty/Barber",'Falls Data Entry'!$H$6:$H$423,"&gt;="&amp;DATE(YEAR('Time Location Falls Summary'!$E$7),MONTH('Time Location Falls Summary'!$E$7),1),'Falls Data Entry'!$H$6:$H$423,"&lt;="&amp;EOMONTH(DATE(YEAR('Time Location Falls Summary'!$E$7),MONTH('Time Location Falls Summary'!$E$7),1),0))</f>
        <v>0</v>
      </c>
      <c r="F137" s="131" t="str">
        <f>IFERROR(E137/($E$113+$E$117+$E$121+$E$125+$E$129+$E$133+$E$137+$E$141+$E$145+$E$149+$E$153)," ")</f>
        <v xml:space="preserve"> </v>
      </c>
      <c r="G137" s="131">
        <f>COUNTIFS('Falls Data Entry'!$H$6:$H$423,"&lt;&gt;"&amp;" ",'Falls Data Entry'!$N$6:$N$423,"="&amp;"Beauty/Barber",'Falls Data Entry'!$H$6:$H$423,"&gt;="&amp;DATE(YEAR(VALUE('Time Location Falls Summary'!$E$8)),1,1),'Falls Data Entry'!$H$6:$H$423,"&lt;="&amp;DATE(YEAR(VALUE('Time Location Falls Summary'!$E$8)),12,31))</f>
        <v>0</v>
      </c>
      <c r="H137" s="131" t="str">
        <f>IFERROR(G137/($G$113+$G$117+$G$121+$G$125+$G$129+$G$133+$G$137+$G$141+$G$145+$G$149+$G$153)," ")</f>
        <v xml:space="preserve"> </v>
      </c>
    </row>
    <row r="138" spans="1:8" ht="17.25" x14ac:dyDescent="0.3">
      <c r="A138" s="46">
        <v>6.6176470588235299</v>
      </c>
      <c r="C138" s="83"/>
      <c r="D138" s="84" t="str">
        <f>IF(ISNONTEXT('Falls Summary'!$E$5),"",'Falls Summary'!$E$5)</f>
        <v>Unit 1</v>
      </c>
      <c r="E138" s="22">
        <f>COUNTIFS('Falls Data Entry'!$H$6:$H$423,"&lt;&gt;"&amp;" ",'Falls Data Entry'!$N$6:$N$423,"="&amp;"Beauty/Barber",'Falls Data Entry'!$H$6:$H$423,"&gt;="&amp;DATE(YEAR('Time Location Falls Summary'!$E$7),MONTH('Time Location Falls Summary'!$E$7),1),'Falls Data Entry'!$H$6:$H$423,"&lt;="&amp;EOMONTH(DATE(YEAR('Time Location Falls Summary'!$E$7),MONTH('Time Location Falls Summary'!$E$7),1),0),'Falls Data Entry'!$A$6:$A$423,D138)</f>
        <v>0</v>
      </c>
      <c r="F138" s="82" t="str">
        <f>IFERROR(E138/($E$114+$E$118+$E$122+$E$126+$E$130+$E$134+$E$138+$E$142+$E$146+$E$150+$E$154)," ")</f>
        <v xml:space="preserve"> </v>
      </c>
      <c r="G138" s="22">
        <f>COUNTIFS('Falls Data Entry'!$H$6:$H$423,"&lt;&gt;"&amp;" ",'Falls Data Entry'!$N$6:$N$423,"="&amp;"Beauty/Barber",'Falls Data Entry'!$H$6:$H$423,"&gt;="&amp;DATE(YEAR(VALUE('Time Location Falls Summary'!$E$8)),1,1),'Falls Data Entry'!$H$6:$H$423,"&lt;="&amp;DATE(YEAR(VALUE('Time Location Falls Summary'!$E$8)),12,31),'Falls Data Entry'!$A$6:$A$423,D138)</f>
        <v>0</v>
      </c>
      <c r="H138" s="82" t="str">
        <f>IFERROR(G138/($G$114+$G$118+$G$122+$G$126+$G$130+$G$134+$G$138+$G$142+$G$146+$G$150+$G$154)," ")</f>
        <v xml:space="preserve"> </v>
      </c>
    </row>
    <row r="139" spans="1:8" ht="17.25" x14ac:dyDescent="0.3">
      <c r="A139" s="46">
        <v>6.8529411764705896</v>
      </c>
      <c r="C139" s="83"/>
      <c r="D139" s="84" t="str">
        <f>IF(ISNONTEXT('Falls Summary'!$F$5),"",'Falls Summary'!$F$5)</f>
        <v>Unit 2</v>
      </c>
      <c r="E139" s="22">
        <f>COUNTIFS('Falls Data Entry'!$H$6:$H$423,"&lt;&gt;"&amp;" ",'Falls Data Entry'!$N$6:$N$423,"="&amp;"Beauty/Barber",'Falls Data Entry'!$H$6:$H$423,"&gt;="&amp;DATE(YEAR('Time Location Falls Summary'!$E$7),MONTH('Time Location Falls Summary'!$E$7),1),'Falls Data Entry'!$H$6:$H$423,"&lt;="&amp;EOMONTH(DATE(YEAR('Time Location Falls Summary'!$E$7),MONTH('Time Location Falls Summary'!$E$7),1),0),'Falls Data Entry'!$A$6:$A$423,D139)</f>
        <v>0</v>
      </c>
      <c r="F139" s="82" t="str">
        <f>IFERROR(E139/($E$115+$E$119+$E$123+$E$127+$E$131+$E$135+$E$139+$E$143+$E$147+$E$151+$E$155)," ")</f>
        <v xml:space="preserve"> </v>
      </c>
      <c r="G139" s="22">
        <f>COUNTIFS('Falls Data Entry'!$H$6:$H$423,"&lt;&gt;"&amp;" ",'Falls Data Entry'!$N$6:$N$423,"="&amp;"Beauty/Barber",'Falls Data Entry'!$H$6:$H$423,"&gt;="&amp;DATE(YEAR(VALUE('Time Location Falls Summary'!$E$8)),1,1),'Falls Data Entry'!$H$6:$H$423,"&lt;="&amp;DATE(YEAR(VALUE('Time Location Falls Summary'!$E$8)),12,31),'Falls Data Entry'!$A$6:$A$423,D139)</f>
        <v>0</v>
      </c>
      <c r="H139" s="82" t="str">
        <f>IFERROR(G139/($G$115+$G$119+$G$123+$G$127+$G$131+$G$135+$G$139+$G$143+$G$147+$G$151+$G$155)," ")</f>
        <v xml:space="preserve"> </v>
      </c>
    </row>
    <row r="140" spans="1:8" ht="17.25" x14ac:dyDescent="0.3">
      <c r="A140" s="46">
        <v>7.0882352941176503</v>
      </c>
      <c r="C140" s="83"/>
      <c r="D140" s="84" t="str">
        <f>IF(ISNONTEXT('Falls Summary'!$G$5),"",'Falls Summary'!$G$5)</f>
        <v>Unit 3</v>
      </c>
      <c r="E140" s="22">
        <f>COUNTIFS('Falls Data Entry'!$H$6:$H$423,"&lt;&gt;"&amp;" ",'Falls Data Entry'!$N$6:$N$423,"="&amp;"Beauty/Barber",'Falls Data Entry'!$H$6:$H$423,"&gt;="&amp;DATE(YEAR('Time Location Falls Summary'!$E$7),MONTH('Time Location Falls Summary'!$E$7),1),'Falls Data Entry'!$H$6:$H$423,"&lt;="&amp;EOMONTH(DATE(YEAR('Time Location Falls Summary'!$E$7),MONTH('Time Location Falls Summary'!$E$7),1),0),'Falls Data Entry'!$A$6:$A$423,D140)</f>
        <v>0</v>
      </c>
      <c r="F140" s="82" t="str">
        <f>IFERROR(E140/($E$116+$E$120+$E$124+$E$128+$E$132+$E$136+$E$140+$E$144+$E$148+$E$152+$E$156)," ")</f>
        <v xml:space="preserve"> </v>
      </c>
      <c r="G140" s="22">
        <f>COUNTIFS('Falls Data Entry'!$H$6:$H$423,"&lt;&gt;"&amp;" ",'Falls Data Entry'!$N$6:$N$423,"="&amp;"Beauty/Barber",'Falls Data Entry'!$H$6:$H$423,"&gt;="&amp;DATE(YEAR(VALUE('Time Location Falls Summary'!$E$8)),1,1),'Falls Data Entry'!$H$6:$H$423,"&lt;="&amp;DATE(YEAR(VALUE('Time Location Falls Summary'!$E$8)),12,31),'Falls Data Entry'!$A$6:$A$423,D140)</f>
        <v>0</v>
      </c>
      <c r="H140" s="82" t="str">
        <f>IFERROR(G140/($G$116+$G$120+$G$124+$G$128+$G$132+$G$136+$G$140+$G$144+$G$148+$G$152+$G$156)," ")</f>
        <v xml:space="preserve"> </v>
      </c>
    </row>
    <row r="141" spans="1:8" ht="17.25" x14ac:dyDescent="0.3">
      <c r="A141" s="46">
        <v>8</v>
      </c>
      <c r="C141" s="129" t="s">
        <v>75</v>
      </c>
      <c r="D141" s="131" t="s">
        <v>3</v>
      </c>
      <c r="E141" s="131">
        <f>COUNTIFS('Falls Data Entry'!$H$6:$H$423,"&lt;&gt;"&amp;" ",'Falls Data Entry'!$N$6:$N$423,"="&amp;"Shower/Tub",'Falls Data Entry'!$H$6:$H$423,"&gt;="&amp;DATE(YEAR('Time Location Falls Summary'!$E$7),MONTH('Time Location Falls Summary'!$E$7),1),'Falls Data Entry'!$H$6:$H$423,"&lt;="&amp;EOMONTH(DATE(YEAR('Time Location Falls Summary'!$E$7),MONTH('Time Location Falls Summary'!$E$7),1),0))</f>
        <v>0</v>
      </c>
      <c r="F141" s="131" t="str">
        <f>IFERROR(E141/($E$113+$E$117+$E$121+$E$125+$E$129+$E$133+$E$137+$E$141+$E$145+$E$149+$E$153)," ")</f>
        <v xml:space="preserve"> </v>
      </c>
      <c r="G141" s="131">
        <f>COUNTIFS('Falls Data Entry'!$H$6:$H$423,"&lt;&gt;"&amp;" ",'Falls Data Entry'!$N$6:$N$423,"="&amp;"Shower/Tub",'Falls Data Entry'!$H$6:$H$423,"&gt;="&amp;DATE(YEAR(VALUE('Time Location Falls Summary'!$E$8)),1,1),'Falls Data Entry'!$H$6:$H$423,"&lt;="&amp;DATE(YEAR(VALUE('Time Location Falls Summary'!$E$8)),12,31))</f>
        <v>0</v>
      </c>
      <c r="H141" s="131" t="str">
        <f>IFERROR(G141/($G$113+$G$117+$G$121+$G$125+$G$129+$G$133+$G$137+$G$141+$G$145+$G$149+$G$153)," ")</f>
        <v xml:space="preserve"> </v>
      </c>
    </row>
    <row r="142" spans="1:8" ht="17.25" x14ac:dyDescent="0.3">
      <c r="A142" s="46">
        <v>7.5588235294117698</v>
      </c>
      <c r="C142" s="87"/>
      <c r="D142" s="84" t="str">
        <f>IF(ISNONTEXT('Falls Summary'!$E$5),"",'Falls Summary'!$E$5)</f>
        <v>Unit 1</v>
      </c>
      <c r="E142" s="22">
        <f>COUNTIFS('Falls Data Entry'!$H$6:$H$423,"&lt;&gt;"&amp;" ",'Falls Data Entry'!$N$6:$N$423,"="&amp;"Shower/Tub",'Falls Data Entry'!$H$6:$H$423,"&gt;="&amp;DATE(YEAR('Time Location Falls Summary'!$E$7),MONTH('Time Location Falls Summary'!$E$7),1),'Falls Data Entry'!$H$6:$H$423,"&lt;="&amp;EOMONTH(DATE(YEAR('Time Location Falls Summary'!$E$7),MONTH('Time Location Falls Summary'!$E$7),1),0),'Falls Data Entry'!$A$6:$A$423,D142)</f>
        <v>0</v>
      </c>
      <c r="F142" s="82" t="str">
        <f>IFERROR(E142/($E$114+$E$118+$E$122+$E$126+$E$130+$E$134+$E$138+$E$142+$E$146+$E$150+$E$154)," ")</f>
        <v xml:space="preserve"> </v>
      </c>
      <c r="G142" s="22">
        <f>COUNTIFS('Falls Data Entry'!$H$6:$H$423,"&lt;&gt;"&amp;" ",'Falls Data Entry'!$N$6:$N$423,"="&amp;"Shower/Tub",'Falls Data Entry'!$H$6:$H$423,"&gt;="&amp;DATE(YEAR(VALUE('Time Location Falls Summary'!$E$8)),1,1),'Falls Data Entry'!$H$6:$H$423,"&lt;="&amp;DATE(YEAR(VALUE('Time Location Falls Summary'!$E$8)),12,31),'Falls Data Entry'!$A$6:$A$423,D142)</f>
        <v>0</v>
      </c>
      <c r="H142" s="82" t="str">
        <f>IFERROR(G142/($G$114+$G$118+$G$122+$G$126+$G$130+$G$134+$G$138+$G$142+$G$146+$G$150+$G$154)," ")</f>
        <v xml:space="preserve"> </v>
      </c>
    </row>
    <row r="143" spans="1:8" ht="17.25" x14ac:dyDescent="0.3">
      <c r="A143" s="46">
        <v>7.7941176470588198</v>
      </c>
      <c r="C143" s="87"/>
      <c r="D143" s="84" t="str">
        <f>IF(ISNONTEXT('Falls Summary'!$F$5),"",'Falls Summary'!$F$5)</f>
        <v>Unit 2</v>
      </c>
      <c r="E143" s="22">
        <f>COUNTIFS('Falls Data Entry'!$H$6:$H$423,"&lt;&gt;"&amp;" ",'Falls Data Entry'!$N$6:$N$423,"="&amp;"Shower/Tub",'Falls Data Entry'!$H$6:$H$423,"&gt;="&amp;DATE(YEAR('Time Location Falls Summary'!$E$7),MONTH('Time Location Falls Summary'!$E$7),1),'Falls Data Entry'!$H$6:$H$423,"&lt;="&amp;EOMONTH(DATE(YEAR('Time Location Falls Summary'!$E$7),MONTH('Time Location Falls Summary'!$E$7),1),0),'Falls Data Entry'!$A$6:$A$423,D143)</f>
        <v>0</v>
      </c>
      <c r="F143" s="82" t="str">
        <f>IFERROR(E143/($E$115+$E$119+$E$123+$E$127+$E$131+$E$135+$E$139+$E$143+$E$147+$E$151+$E$155)," ")</f>
        <v xml:space="preserve"> </v>
      </c>
      <c r="G143" s="22">
        <f>COUNTIFS('Falls Data Entry'!$H$6:$H$423,"&lt;&gt;"&amp;" ",'Falls Data Entry'!$N$6:$N$423,"="&amp;"Shower/Tub",'Falls Data Entry'!$H$6:$H$423,"&gt;="&amp;DATE(YEAR(VALUE('Time Location Falls Summary'!$E$8)),1,1),'Falls Data Entry'!$H$6:$H$423,"&lt;="&amp;DATE(YEAR(VALUE('Time Location Falls Summary'!$E$8)),12,31),'Falls Data Entry'!$A$6:$A$423,D143)</f>
        <v>0</v>
      </c>
      <c r="H143" s="82" t="str">
        <f>IFERROR(G143/($G$115+$G$119+$G$123+$G$127+$G$131+$G$135+$G$139+$G$143+$G$147+$G$151+$G$155)," ")</f>
        <v xml:space="preserve"> </v>
      </c>
    </row>
    <row r="144" spans="1:8" ht="17.25" x14ac:dyDescent="0.3">
      <c r="A144" s="46">
        <v>8.0294117647058805</v>
      </c>
      <c r="C144" s="87"/>
      <c r="D144" s="84" t="str">
        <f>IF(ISNONTEXT('Falls Summary'!$G$5),"",'Falls Summary'!$G$5)</f>
        <v>Unit 3</v>
      </c>
      <c r="E144" s="22">
        <f>COUNTIFS('Falls Data Entry'!$H$6:$H$423,"&lt;&gt;"&amp;" ",'Falls Data Entry'!$N$6:$N$423,"="&amp;"Shower/Tub",'Falls Data Entry'!$H$6:$H$423,"&gt;="&amp;DATE(YEAR('Time Location Falls Summary'!$E$7),MONTH('Time Location Falls Summary'!$E$7),1),'Falls Data Entry'!$H$6:$H$423,"&lt;="&amp;EOMONTH(DATE(YEAR('Time Location Falls Summary'!$E$7),MONTH('Time Location Falls Summary'!$E$7),1),0),'Falls Data Entry'!$A$6:$A$423,D144)</f>
        <v>0</v>
      </c>
      <c r="F144" s="82" t="str">
        <f>IFERROR(E144/($E$116+$E$120+$E$124+$E$128+$E$132+$E$136+$E$140+$E$144+$E$148+$E$152+$E$156)," ")</f>
        <v xml:space="preserve"> </v>
      </c>
      <c r="G144" s="22">
        <f>COUNTIFS('Falls Data Entry'!$H$6:$H$423,"&lt;&gt;"&amp;" ",'Falls Data Entry'!$N$6:$N$423,"="&amp;"Shower/Tub",'Falls Data Entry'!$H$6:$H$423,"&gt;="&amp;DATE(YEAR(VALUE('Time Location Falls Summary'!$E$8)),1,1),'Falls Data Entry'!$H$6:$H$423,"&lt;="&amp;DATE(YEAR(VALUE('Time Location Falls Summary'!$E$8)),12,31),'Falls Data Entry'!$A$6:$A$423,D144)</f>
        <v>0</v>
      </c>
      <c r="H144" s="82" t="str">
        <f>IFERROR(G144/($G$116+$G$120+$G$124+$G$128+$G$132+$G$136+$G$140+$G$144+$G$148+$G$152+$G$156)," ")</f>
        <v xml:space="preserve"> </v>
      </c>
    </row>
    <row r="145" spans="1:8" ht="17.25" x14ac:dyDescent="0.3">
      <c r="A145" s="46">
        <v>9</v>
      </c>
      <c r="C145" s="129" t="s">
        <v>76</v>
      </c>
      <c r="D145" s="131" t="s">
        <v>3</v>
      </c>
      <c r="E145" s="131">
        <f>COUNTIFS('Falls Data Entry'!$H$6:$H$423,"&lt;&gt;"&amp;" ",'Falls Data Entry'!$N$6:$N$423,"="&amp;"Nursing Station",'Falls Data Entry'!$H$6:$H$423,"&gt;="&amp;DATE(YEAR('Time Location Falls Summary'!$E$7),MONTH('Time Location Falls Summary'!$E$7),1),'Falls Data Entry'!$H$6:$H$423,"&lt;="&amp;EOMONTH(DATE(YEAR('Time Location Falls Summary'!$E$7),MONTH('Time Location Falls Summary'!$E$7),1),0))</f>
        <v>0</v>
      </c>
      <c r="F145" s="131" t="str">
        <f>IFERROR(E145/($E$113+$E$117+$E$121+$E$125+$E$129+$E$133+$E$137+$E$141+$E$145+$E$149+$E$153)," ")</f>
        <v xml:space="preserve"> </v>
      </c>
      <c r="G145" s="131">
        <f>COUNTIFS('Falls Data Entry'!$H$6:$H$423,"&lt;&gt;"&amp;" ",'Falls Data Entry'!$N$6:$N$423,"="&amp;"Nursing Station",'Falls Data Entry'!$H$6:$H$423,"&gt;="&amp;DATE(YEAR(VALUE('Time Location Falls Summary'!$E$8)),1,1),'Falls Data Entry'!$H$6:$H$423,"&lt;="&amp;DATE(YEAR(VALUE('Time Location Falls Summary'!$E$8)),12,31))</f>
        <v>0</v>
      </c>
      <c r="H145" s="131" t="str">
        <f>IFERROR(G145/($G$113+$G$117+$G$121+$G$125+$G$129+$G$133+$G$137+$G$141+$G$145+$G$149+$G$153)," ")</f>
        <v xml:space="preserve"> </v>
      </c>
    </row>
    <row r="146" spans="1:8" ht="17.25" x14ac:dyDescent="0.3">
      <c r="A146" s="46">
        <v>8.5</v>
      </c>
      <c r="B146" s="47" t="s">
        <v>68</v>
      </c>
      <c r="C146" s="87"/>
      <c r="D146" s="84" t="str">
        <f>IF(ISNONTEXT('Falls Summary'!$E$5),"",'Falls Summary'!$E$5)</f>
        <v>Unit 1</v>
      </c>
      <c r="E146" s="22">
        <f>COUNTIFS('Falls Data Entry'!$H$6:$H$423,"&lt;&gt;"&amp;" ",'Falls Data Entry'!$N$6:$N$423,"="&amp;"Nursing Station",'Falls Data Entry'!$H$6:$H$423,"&gt;="&amp;DATE(YEAR('Time Location Falls Summary'!$E$7),MONTH('Time Location Falls Summary'!$E$7),1),'Falls Data Entry'!$H$6:$H$423,"&lt;="&amp;EOMONTH(DATE(YEAR('Time Location Falls Summary'!$E$7),MONTH('Time Location Falls Summary'!$E$7),1),0),'Falls Data Entry'!$A$6:$A$423,D146)</f>
        <v>0</v>
      </c>
      <c r="F146" s="82" t="str">
        <f>IFERROR(E146/($E$114+$E$118+$E$122+$E$126+$E$130+$E$134+$E$138+$E$142+$E$146+$E$150+$E$154)," ")</f>
        <v xml:space="preserve"> </v>
      </c>
      <c r="G146" s="22">
        <f>COUNTIFS('Falls Data Entry'!$H$6:$H$423,"&lt;&gt;"&amp;" ",'Falls Data Entry'!$N$6:$N$423,"="&amp;"Nursing Station",'Falls Data Entry'!$H$6:$H$423,"&gt;="&amp;DATE(YEAR(VALUE('Time Location Falls Summary'!$E$8)),1,1),'Falls Data Entry'!$H$6:$H$423,"&lt;="&amp;DATE(YEAR(VALUE('Time Location Falls Summary'!$E$8)),12,31),'Falls Data Entry'!$A$6:$A$423,D146)</f>
        <v>0</v>
      </c>
      <c r="H146" s="82" t="str">
        <f>IFERROR(G146/($G$114+$G$118+$G$122+$G$126+$G$130+$G$134+$G$138+$G$142+$G$146+$G$150+$G$154)," ")</f>
        <v xml:space="preserve"> </v>
      </c>
    </row>
    <row r="147" spans="1:8" ht="17.25" x14ac:dyDescent="0.3">
      <c r="A147" s="46">
        <v>8.7352941176470598</v>
      </c>
      <c r="B147" s="47" t="s">
        <v>69</v>
      </c>
      <c r="C147" s="87"/>
      <c r="D147" s="84" t="str">
        <f>IF(ISNONTEXT('Falls Summary'!$F$5),"",'Falls Summary'!$F$5)</f>
        <v>Unit 2</v>
      </c>
      <c r="E147" s="22">
        <f>COUNTIFS('Falls Data Entry'!$H$6:$H$423,"&lt;&gt;"&amp;" ",'Falls Data Entry'!$N$6:$N$423,"="&amp;"Nursing Station",'Falls Data Entry'!$H$6:$H$423,"&gt;="&amp;DATE(YEAR('Time Location Falls Summary'!$E$7),MONTH('Time Location Falls Summary'!$E$7),1),'Falls Data Entry'!$H$6:$H$423,"&lt;="&amp;EOMONTH(DATE(YEAR('Time Location Falls Summary'!$E$7),MONTH('Time Location Falls Summary'!$E$7),1),0),'Falls Data Entry'!$A$6:$A$423,D147)</f>
        <v>0</v>
      </c>
      <c r="F147" s="82" t="str">
        <f>IFERROR(E147/($E$115+$E$119+$E$123+$E$127+$E$131+$E$135+$E$139+$E$143+$E$147+$E$151+$E$155)," ")</f>
        <v xml:space="preserve"> </v>
      </c>
      <c r="G147" s="22">
        <f>COUNTIFS('Falls Data Entry'!$H$6:$H$423,"&lt;&gt;"&amp;" ",'Falls Data Entry'!$N$6:$N$423,"="&amp;"Nursing Station",'Falls Data Entry'!$H$6:$H$423,"&gt;="&amp;DATE(YEAR(VALUE('Time Location Falls Summary'!$E$8)),1,1),'Falls Data Entry'!$H$6:$H$423,"&lt;="&amp;DATE(YEAR(VALUE('Time Location Falls Summary'!$E$8)),12,31),'Falls Data Entry'!$A$6:$A$423,D147)</f>
        <v>0</v>
      </c>
      <c r="H147" s="82" t="str">
        <f>IFERROR(G147/($G$115+$G$119+$G$123+$G$127+$G$131+$G$135+$G$139+$G$143+$G$147+$G$151+$G$155)," ")</f>
        <v xml:space="preserve"> </v>
      </c>
    </row>
    <row r="148" spans="1:8" ht="17.25" x14ac:dyDescent="0.3">
      <c r="A148" s="46">
        <v>8.9705882352941195</v>
      </c>
      <c r="B148" s="47" t="s">
        <v>70</v>
      </c>
      <c r="C148" s="96"/>
      <c r="D148" s="84" t="str">
        <f>IF(ISNONTEXT('Falls Summary'!$G$5),"",'Falls Summary'!$G$5)</f>
        <v>Unit 3</v>
      </c>
      <c r="E148" s="22">
        <f>COUNTIFS('Falls Data Entry'!$H$6:$H$423,"&lt;&gt;"&amp;" ",'Falls Data Entry'!$N$6:$N$423,"="&amp;"Nursing Station",'Falls Data Entry'!$H$6:$H$423,"&gt;="&amp;DATE(YEAR('Time Location Falls Summary'!$E$7),MONTH('Time Location Falls Summary'!$E$7),1),'Falls Data Entry'!$H$6:$H$423,"&lt;="&amp;EOMONTH(DATE(YEAR('Time Location Falls Summary'!$E$7),MONTH('Time Location Falls Summary'!$E$7),1),0),'Falls Data Entry'!$A$6:$A$423,D148)</f>
        <v>0</v>
      </c>
      <c r="F148" s="82" t="str">
        <f>IFERROR(E148/($E$116+$E$120+$E$124+$E$128+$E$132+$E$136+$E$140+$E$144+$E$148+$E$152+$E$156)," ")</f>
        <v xml:space="preserve"> </v>
      </c>
      <c r="G148" s="22">
        <f>COUNTIFS('Falls Data Entry'!$H$6:$H$423,"&lt;&gt;"&amp;" ",'Falls Data Entry'!$N$6:$N$423,"="&amp;"Nursing Station",'Falls Data Entry'!$H$6:$H$423,"&gt;="&amp;DATE(YEAR(VALUE('Time Location Falls Summary'!$E$8)),1,1),'Falls Data Entry'!$H$6:$H$423,"&lt;="&amp;DATE(YEAR(VALUE('Time Location Falls Summary'!$E$8)),12,31),'Falls Data Entry'!$A$6:$A$423,D148)</f>
        <v>0</v>
      </c>
      <c r="H148" s="82" t="str">
        <f>IFERROR(G148/($G$116+$G$120+$G$124+$G$128+$G$132+$G$136+$G$140+$G$144+$G$148+$G$152+$G$156)," ")</f>
        <v xml:space="preserve"> </v>
      </c>
    </row>
    <row r="149" spans="1:8" ht="17.25" x14ac:dyDescent="0.3">
      <c r="A149" s="46">
        <v>10</v>
      </c>
      <c r="B149" s="47" t="s">
        <v>71</v>
      </c>
      <c r="C149" s="129" t="s">
        <v>77</v>
      </c>
      <c r="D149" s="131" t="s">
        <v>3</v>
      </c>
      <c r="E149" s="131">
        <f>COUNTIFS('Falls Data Entry'!$H$6:$H$423,"&lt;&gt;"&amp;" ",'Falls Data Entry'!$N$6:$N$423,"="&amp;"Out of Facility",'Falls Data Entry'!$H$6:$H$423,"&gt;="&amp;DATE(YEAR('Time Location Falls Summary'!$E$7),MONTH('Time Location Falls Summary'!$E$7),1),'Falls Data Entry'!$H$6:$H$423,"&lt;="&amp;EOMONTH(DATE(YEAR('Time Location Falls Summary'!$E$7),MONTH('Time Location Falls Summary'!$E$7),1),0))</f>
        <v>0</v>
      </c>
      <c r="F149" s="131" t="str">
        <f>IFERROR(E149/($E$113+$E$117+$E$121+$E$125+$E$129+$E$133+$E$137+$E$141+$E$145+$E$149+$E$153)," ")</f>
        <v xml:space="preserve"> </v>
      </c>
      <c r="G149" s="131">
        <f>COUNTIFS('Falls Data Entry'!$H$6:$H$423,"&lt;&gt;"&amp;" ",'Falls Data Entry'!$N$6:$N$423,"="&amp;"Out of Facility",'Falls Data Entry'!$H$6:$H$423,"&gt;="&amp;DATE(YEAR(VALUE('Time Location Falls Summary'!$E$8)),1,1),'Falls Data Entry'!$H$6:$H$423,"&lt;="&amp;DATE(YEAR(VALUE('Time Location Falls Summary'!$E$8)),12,31))</f>
        <v>0</v>
      </c>
      <c r="H149" s="131" t="str">
        <f>IFERROR(G149/($G$113+$G$117+$G$121+$G$125+$G$129+$G$133+$G$137+$G$141+$G$145+$G$149+$G$153)," ")</f>
        <v xml:space="preserve"> </v>
      </c>
    </row>
    <row r="150" spans="1:8" ht="17.25" x14ac:dyDescent="0.3">
      <c r="A150" s="46">
        <v>10</v>
      </c>
      <c r="B150" s="47" t="s">
        <v>72</v>
      </c>
      <c r="C150" s="87"/>
      <c r="D150" s="84" t="str">
        <f>IF(ISNONTEXT('Falls Summary'!$E$5),"",'Falls Summary'!$E$5)</f>
        <v>Unit 1</v>
      </c>
      <c r="E150" s="22">
        <f>COUNTIFS('Falls Data Entry'!$H$6:$H$423,"&lt;&gt;"&amp;" ",'Falls Data Entry'!$N$6:$N$423,"="&amp;"Out of Facility",'Falls Data Entry'!$H$6:$H$423,"&gt;="&amp;DATE(YEAR('Time Location Falls Summary'!$E$7),MONTH('Time Location Falls Summary'!$E$7),1),'Falls Data Entry'!$H$6:$H$423,"&lt;="&amp;EOMONTH(DATE(YEAR('Time Location Falls Summary'!$E$7),MONTH('Time Location Falls Summary'!$E$7),1),0),'Falls Data Entry'!$A$6:$A$423,D150)</f>
        <v>0</v>
      </c>
      <c r="F150" s="82" t="str">
        <f>IFERROR(E150/($E$114+$E$118+$E$122+$E$126+$E$130+$E$134+$E$138+$E$142+$E$146+$E$150+$E$154)," ")</f>
        <v xml:space="preserve"> </v>
      </c>
      <c r="G150" s="22">
        <f>COUNTIFS('Falls Data Entry'!$H$6:$H$423,"&lt;&gt;"&amp;" ",'Falls Data Entry'!$N$6:$N$423,"="&amp;"Out of Facility",'Falls Data Entry'!$H$6:$H$423,"&gt;="&amp;DATE(YEAR(VALUE('Time Location Falls Summary'!$E$8)),1,1),'Falls Data Entry'!$H$6:$H$423,"&lt;="&amp;DATE(YEAR(VALUE('Time Location Falls Summary'!$E$8)),12,31),'Falls Data Entry'!$A$6:$A$423,D150)</f>
        <v>0</v>
      </c>
      <c r="H150" s="82" t="str">
        <f>IFERROR(G150/($G$114+$G$118+$G$122+$G$126+$G$130+$G$134+$G$138+$G$142+$G$146+$G$150+$G$154)," ")</f>
        <v xml:space="preserve"> </v>
      </c>
    </row>
    <row r="151" spans="1:8" ht="17.25" x14ac:dyDescent="0.3">
      <c r="A151" s="46">
        <v>10</v>
      </c>
      <c r="B151" s="47" t="s">
        <v>73</v>
      </c>
      <c r="C151" s="87"/>
      <c r="D151" s="84" t="str">
        <f>IF(ISNONTEXT('Falls Summary'!$F$5),"",'Falls Summary'!$F$5)</f>
        <v>Unit 2</v>
      </c>
      <c r="E151" s="22">
        <f>COUNTIFS('Falls Data Entry'!$H$6:$H$423,"&lt;&gt;"&amp;" ",'Falls Data Entry'!$N$6:$N$423,"="&amp;"Out of Facility",'Falls Data Entry'!$H$6:$H$423,"&gt;="&amp;DATE(YEAR('Time Location Falls Summary'!$E$7),MONTH('Time Location Falls Summary'!$E$7),1),'Falls Data Entry'!$H$6:$H$423,"&lt;="&amp;EOMONTH(DATE(YEAR('Time Location Falls Summary'!$E$7),MONTH('Time Location Falls Summary'!$E$7),1),0),'Falls Data Entry'!$A$6:$A$423,D151)</f>
        <v>0</v>
      </c>
      <c r="F151" s="82" t="str">
        <f>IFERROR(E151/($E$115+$E$119+$E$123+$E$127+$E$131+$E$135+$E$139+$E$143+$E$147+$E$151+$E$155)," ")</f>
        <v xml:space="preserve"> </v>
      </c>
      <c r="G151" s="22">
        <f>COUNTIFS('Falls Data Entry'!$H$6:$H$423,"&lt;&gt;"&amp;" ",'Falls Data Entry'!$N$6:$N$423,"="&amp;"Out of Facility",'Falls Data Entry'!$H$6:$H$423,"&gt;="&amp;DATE(YEAR(VALUE('Time Location Falls Summary'!$E$8)),1,1),'Falls Data Entry'!$H$6:$H$423,"&lt;="&amp;DATE(YEAR(VALUE('Time Location Falls Summary'!$E$8)),12,31),'Falls Data Entry'!$A$6:$A$423,D151)</f>
        <v>0</v>
      </c>
      <c r="H151" s="82" t="str">
        <f>IFERROR(G151/($G$115+$G$119+$G$123+$G$127+$G$131+$G$135+$G$139+$G$143+$G$147+$G$151+$G$155)," ")</f>
        <v xml:space="preserve"> </v>
      </c>
    </row>
    <row r="152" spans="1:8" ht="17.25" x14ac:dyDescent="0.3">
      <c r="A152" s="46">
        <v>10</v>
      </c>
      <c r="B152" s="47" t="s">
        <v>74</v>
      </c>
      <c r="C152" s="96"/>
      <c r="D152" s="84" t="str">
        <f>IF(ISNONTEXT('Falls Summary'!$G$5),"",'Falls Summary'!$G$5)</f>
        <v>Unit 3</v>
      </c>
      <c r="E152" s="22">
        <f>COUNTIFS('Falls Data Entry'!$H$6:$H$423,"&lt;&gt;"&amp;" ",'Falls Data Entry'!$N$6:$N$423,"="&amp;"Out of Facility",'Falls Data Entry'!$H$6:$H$423,"&gt;="&amp;DATE(YEAR('Time Location Falls Summary'!$E$7),MONTH('Time Location Falls Summary'!$E$7),1),'Falls Data Entry'!$H$6:$H$423,"&lt;="&amp;EOMONTH(DATE(YEAR('Time Location Falls Summary'!$E$7),MONTH('Time Location Falls Summary'!$E$7),1),0),'Falls Data Entry'!$A$6:$A$423,D152)</f>
        <v>0</v>
      </c>
      <c r="F152" s="82" t="str">
        <f>IFERROR(E152/($E$116+$E$120+$E$124+$E$128+$E$132+$E$136+$E$140+$E$144+$E$148+$E$152+$E$156)," ")</f>
        <v xml:space="preserve"> </v>
      </c>
      <c r="G152" s="22">
        <f>COUNTIFS('Falls Data Entry'!$H$6:$H$423,"&lt;&gt;"&amp;" ",'Falls Data Entry'!$N$6:$N$423,"="&amp;"Out of Facility",'Falls Data Entry'!$H$6:$H$423,"&gt;="&amp;DATE(YEAR(VALUE('Time Location Falls Summary'!$E$8)),1,1),'Falls Data Entry'!$H$6:$H$423,"&lt;="&amp;DATE(YEAR(VALUE('Time Location Falls Summary'!$E$8)),12,31),'Falls Data Entry'!$A$6:$A$423,D152)</f>
        <v>0</v>
      </c>
      <c r="H152" s="82" t="str">
        <f>IFERROR(G152/($G$116+$G$120+$G$124+$G$128+$G$132+$G$136+$G$140+$G$144+$G$148+$G$152+$G$156)," ")</f>
        <v xml:space="preserve"> </v>
      </c>
    </row>
    <row r="153" spans="1:8" ht="17.25" x14ac:dyDescent="0.3">
      <c r="A153" s="46">
        <v>11</v>
      </c>
      <c r="B153" s="47" t="s">
        <v>75</v>
      </c>
      <c r="C153" s="129" t="s">
        <v>32</v>
      </c>
      <c r="D153" s="131" t="s">
        <v>3</v>
      </c>
      <c r="E153" s="131">
        <f>COUNTIFS('Falls Data Entry'!$H$6:$H$423,"&lt;&gt;"&amp;" ",'Falls Data Entry'!$N$6:$N$423,"="&amp;"Other",'Falls Data Entry'!$H$6:$H$423,"&gt;="&amp;DATE(YEAR('Time Location Falls Summary'!$E$7),MONTH('Time Location Falls Summary'!$E$7),1),'Falls Data Entry'!$H$6:$H$423,"&lt;="&amp;EOMONTH(DATE(YEAR('Time Location Falls Summary'!$E$7),MONTH('Time Location Falls Summary'!$E$7),1),0))</f>
        <v>0</v>
      </c>
      <c r="F153" s="131" t="str">
        <f>IFERROR(E153/($E$113+$E$117+$E$121+$E$125+$E$129+$E$133+$E$137+$E$141+$E$145+$E$149+$E$153)," ")</f>
        <v xml:space="preserve"> </v>
      </c>
      <c r="G153" s="131">
        <f>COUNTIFS('Falls Data Entry'!$H$6:$H$423,"&lt;&gt;"&amp;" ",'Falls Data Entry'!$N$6:$N$423,"="&amp;"Other",'Falls Data Entry'!$H$6:$H$423,"&gt;="&amp;DATE(YEAR(VALUE('Time Location Falls Summary'!$E$8)),1,1),'Falls Data Entry'!$H$6:$H$423,"&lt;="&amp;DATE(YEAR(VALUE('Time Location Falls Summary'!$E$8)),12,31))</f>
        <v>0</v>
      </c>
      <c r="H153" s="131" t="str">
        <f>IFERROR(G153/($G$113+$G$117+$G$121+$G$125+$G$129+$G$133+$G$137+$G$141+$G$145+$G$149+$G$153)," ")</f>
        <v xml:space="preserve"> </v>
      </c>
    </row>
    <row r="154" spans="1:8" ht="17.25" x14ac:dyDescent="0.3">
      <c r="A154" s="46">
        <v>11</v>
      </c>
      <c r="B154" s="47" t="s">
        <v>76</v>
      </c>
      <c r="C154" s="87"/>
      <c r="D154" s="84" t="str">
        <f>IF(ISNONTEXT('Falls Summary'!$E$5),"",'Falls Summary'!$E$5)</f>
        <v>Unit 1</v>
      </c>
      <c r="E154" s="22">
        <f>COUNTIFS('Falls Data Entry'!$H$6:$H$423,"&lt;&gt;"&amp;" ",'Falls Data Entry'!$N$6:$N$423,"="&amp;"Other",'Falls Data Entry'!$H$6:$H$423,"&gt;="&amp;DATE(YEAR('Time Location Falls Summary'!$E$7),MONTH('Time Location Falls Summary'!$E$7),1),'Falls Data Entry'!$H$6:$H$423,"&lt;="&amp;EOMONTH(DATE(YEAR('Time Location Falls Summary'!$E$7),MONTH('Time Location Falls Summary'!$E$7),1),0),'Falls Data Entry'!$A$6:$A$423,D154)</f>
        <v>0</v>
      </c>
      <c r="F154" s="82" t="str">
        <f>IFERROR(E154/($E$114+$E$118+$E$122+$E$126+$E$130+$E$134+$E$138+$E$142+$E$146+$E$150+$E$154)," ")</f>
        <v xml:space="preserve"> </v>
      </c>
      <c r="G154" s="22">
        <f>COUNTIFS('Falls Data Entry'!$H$6:$H$423,"&lt;&gt;"&amp;" ",'Falls Data Entry'!$N$6:$N$423,"="&amp;"Other",'Falls Data Entry'!$H$6:$H$423,"&gt;="&amp;DATE(YEAR(VALUE('Time Location Falls Summary'!$E$8)),1,1),'Falls Data Entry'!$H$6:$H$423,"&lt;="&amp;DATE(YEAR(VALUE('Time Location Falls Summary'!$E$8)),12,31),'Falls Data Entry'!$A$6:$A$423,D154)</f>
        <v>0</v>
      </c>
      <c r="H154" s="82" t="str">
        <f>IFERROR(G154/($G$114+$G$118+$G$122+$G$126+$G$130+$G$134+$G$138+$G$142+$G$146+$G$150+$G$154)," ")</f>
        <v xml:space="preserve"> </v>
      </c>
    </row>
    <row r="155" spans="1:8" ht="17.25" x14ac:dyDescent="0.3">
      <c r="A155" s="46">
        <v>11</v>
      </c>
      <c r="B155" s="47" t="s">
        <v>77</v>
      </c>
      <c r="C155" s="87"/>
      <c r="D155" s="84" t="str">
        <f>IF(ISNONTEXT('Falls Summary'!$F$5),"",'Falls Summary'!$F$5)</f>
        <v>Unit 2</v>
      </c>
      <c r="E155" s="22">
        <f>COUNTIFS('Falls Data Entry'!$H$6:$H$423,"&lt;&gt;"&amp;" ",'Falls Data Entry'!$N$6:$N$423,"="&amp;"Other",'Falls Data Entry'!$H$6:$H$423,"&gt;="&amp;DATE(YEAR('Time Location Falls Summary'!$E$7),MONTH('Time Location Falls Summary'!$E$7),1),'Falls Data Entry'!$H$6:$H$423,"&lt;="&amp;EOMONTH(DATE(YEAR('Time Location Falls Summary'!$E$7),MONTH('Time Location Falls Summary'!$E$7),1),0),'Falls Data Entry'!$A$6:$A$423,D155)</f>
        <v>0</v>
      </c>
      <c r="F155" s="82" t="str">
        <f>IFERROR(E155/($E$115+$E$119+$E$123+$E$127+$E$131+$E$135+$E$139+$E$143+$E$147+$E$151+$E$155)," ")</f>
        <v xml:space="preserve"> </v>
      </c>
      <c r="G155" s="22">
        <f>COUNTIFS('Falls Data Entry'!$H$6:$H$423,"&lt;&gt;"&amp;" ",'Falls Data Entry'!$N$6:$N$423,"="&amp;"Other",'Falls Data Entry'!$H$6:$H$423,"&gt;="&amp;DATE(YEAR(VALUE('Time Location Falls Summary'!$E$8)),1,1),'Falls Data Entry'!$H$6:$H$423,"&lt;="&amp;DATE(YEAR(VALUE('Time Location Falls Summary'!$E$8)),12,31),'Falls Data Entry'!$A$6:$A$423,D155)</f>
        <v>0</v>
      </c>
      <c r="H155" s="82" t="str">
        <f>IFERROR(G155/($G$115+$G$119+$G$123+$G$127+$G$131+$G$135+$G$139+$G$143+$G$147+$G$151+$G$155)," ")</f>
        <v xml:space="preserve"> </v>
      </c>
    </row>
    <row r="156" spans="1:8" ht="17.25" x14ac:dyDescent="0.3">
      <c r="A156" s="46">
        <v>11</v>
      </c>
      <c r="B156" s="47" t="s">
        <v>32</v>
      </c>
      <c r="C156" s="96"/>
      <c r="D156" s="84" t="str">
        <f>IF(ISNONTEXT('Falls Summary'!$G$5),"",'Falls Summary'!$G$5)</f>
        <v>Unit 3</v>
      </c>
      <c r="E156" s="22">
        <f>COUNTIFS('Falls Data Entry'!$H$6:$H$423,"&lt;&gt;"&amp;" ",'Falls Data Entry'!$N$6:$N$423,"="&amp;"Other",'Falls Data Entry'!$H$6:$H$423,"&gt;="&amp;DATE(YEAR('Time Location Falls Summary'!$E$7),MONTH('Time Location Falls Summary'!$E$7),1),'Falls Data Entry'!$H$6:$H$423,"&lt;="&amp;EOMONTH(DATE(YEAR('Time Location Falls Summary'!$E$7),MONTH('Time Location Falls Summary'!$E$7),1),0),'Falls Data Entry'!$A$6:$A$423,D156)</f>
        <v>0</v>
      </c>
      <c r="F156" s="82" t="str">
        <f>IFERROR(E156/($E$116+$E$120+$E$124+$E$128+$E$132+$E$136+$E$140+$E$144+$E$148+$E$152+$E$156)," ")</f>
        <v xml:space="preserve"> </v>
      </c>
      <c r="G156" s="22">
        <f>COUNTIFS('Falls Data Entry'!$H$6:$H$423,"&lt;&gt;"&amp;" ",'Falls Data Entry'!$N$6:$N$423,"="&amp;"Other",'Falls Data Entry'!$H$6:$H$423,"&gt;="&amp;DATE(YEAR(VALUE('Time Location Falls Summary'!$E$8)),1,1),'Falls Data Entry'!$H$6:$H$423,"&lt;="&amp;DATE(YEAR(VALUE('Time Location Falls Summary'!$E$8)),12,31),'Falls Data Entry'!$A$6:$A$423,D156)</f>
        <v>0</v>
      </c>
      <c r="H156" s="82" t="str">
        <f>IFERROR(G156/($G$116+$G$120+$G$124+$G$128+$G$132+$G$136+$G$140+$G$144+$G$148+$G$152+$G$156)," ")</f>
        <v xml:space="preserve"> </v>
      </c>
    </row>
  </sheetData>
  <mergeCells count="17">
    <mergeCell ref="C2:O2"/>
    <mergeCell ref="C5:D5"/>
    <mergeCell ref="I6:I7"/>
    <mergeCell ref="C7:D7"/>
    <mergeCell ref="C8:D8"/>
    <mergeCell ref="U112:X112"/>
    <mergeCell ref="E10:F10"/>
    <mergeCell ref="G10:H10"/>
    <mergeCell ref="E42:F42"/>
    <mergeCell ref="G42:H42"/>
    <mergeCell ref="E62:F62"/>
    <mergeCell ref="G62:H62"/>
    <mergeCell ref="R112:T112"/>
    <mergeCell ref="E111:F111"/>
    <mergeCell ref="G111:H111"/>
    <mergeCell ref="J112:K112"/>
    <mergeCell ref="L112:O112"/>
  </mergeCells>
  <dataValidations disablePrompts="1" count="1">
    <dataValidation type="list" allowBlank="1" showInputMessage="1" showErrorMessage="1" sqref="L112:O112" xr:uid="{223CDF31-4DA4-4475-892D-8EDCEBC57E47}">
      <formula1>$B$146:$B$156</formula1>
    </dataValidation>
  </dataValidations>
  <pageMargins left="0.7" right="0.7" top="0.75" bottom="0.75" header="0.3" footer="0.3"/>
  <pageSetup scale="35" orientation="landscape" r:id="rId1"/>
  <rowBreaks count="3" manualBreakCount="3">
    <brk id="40" max="25" man="1"/>
    <brk id="60" max="25" man="1"/>
    <brk id="109" max="25" man="1"/>
  </rowBreaks>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86CD0015-6339-456F-A931-6DC6A8D65425}">
          <x14:formula1>
            <xm:f>ref!$I$2:$I$6</xm:f>
          </x14:formula1>
          <xm:sqref>E8</xm:sqref>
        </x14:dataValidation>
        <x14:dataValidation type="list" allowBlank="1" showInputMessage="1" showErrorMessage="1" xr:uid="{7DAAF1BB-EC12-40A3-B2C6-619E9215EE91}">
          <x14:formula1>
            <xm:f>ref!$H$2:$H$38</xm:f>
          </x14:formula1>
          <xm:sqref>E7</xm:sqref>
        </x14:dataValidation>
        <x14:dataValidation type="list" allowBlank="1" showInputMessage="1" showErrorMessage="1" xr:uid="{7B5B7540-C51C-4C6E-BAD6-346ABF9DB03E}">
          <x14:formula1>
            <xm:f>'Unit Designation'!$A$9:$A$29</xm:f>
          </x14:formula1>
          <xm:sqref>E5:G5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7F58F-EA1A-4903-9A58-7381A0AC9B62}">
  <sheetPr>
    <pageSetUpPr fitToPage="1"/>
  </sheetPr>
  <dimension ref="A1:X49"/>
  <sheetViews>
    <sheetView showGridLines="0" zoomScale="90" zoomScaleNormal="90" workbookViewId="0">
      <pane ySplit="2" topLeftCell="A3" activePane="bottomLeft" state="frozen"/>
      <selection pane="bottomLeft" activeCell="B34" activeCellId="2" sqref="A13:A40 L13 B34:B40"/>
    </sheetView>
  </sheetViews>
  <sheetFormatPr defaultColWidth="8.85546875" defaultRowHeight="16.5" x14ac:dyDescent="0.3"/>
  <cols>
    <col min="1" max="1" width="3.28515625" style="46" customWidth="1"/>
    <col min="2" max="2" width="2.85546875" style="46" customWidth="1"/>
    <col min="3" max="3" width="49.5703125" style="33" customWidth="1"/>
    <col min="4" max="4" width="29.42578125" style="33" customWidth="1"/>
    <col min="5" max="5" width="13.7109375" style="33" customWidth="1"/>
    <col min="6" max="6" width="13.7109375" style="34" customWidth="1"/>
    <col min="7" max="7" width="13.7109375" style="33" customWidth="1"/>
    <col min="8" max="8" width="13.85546875" style="34" customWidth="1"/>
    <col min="9" max="9" width="16.140625" style="33" customWidth="1"/>
    <col min="10" max="10" width="17.28515625" style="33" customWidth="1"/>
    <col min="11" max="11" width="16.28515625" style="33" customWidth="1"/>
    <col min="12" max="12" width="16.5703125" style="33" customWidth="1"/>
    <col min="13" max="13" width="8.85546875" style="33"/>
    <col min="14" max="14" width="13.28515625" style="33" customWidth="1"/>
    <col min="15" max="15" width="11.7109375" style="33" customWidth="1"/>
    <col min="16" max="16" width="8.85546875" style="33"/>
    <col min="17" max="17" width="17" style="33" customWidth="1"/>
    <col min="18" max="18" width="18.140625" style="33" customWidth="1"/>
    <col min="19" max="16384" width="8.85546875" style="33"/>
  </cols>
  <sheetData>
    <row r="1" spans="1:24" ht="17.25" thickBot="1" x14ac:dyDescent="0.35">
      <c r="C1" s="7"/>
      <c r="D1" s="7"/>
      <c r="E1" s="7"/>
      <c r="F1" s="69"/>
      <c r="G1" s="7"/>
      <c r="H1" s="69"/>
      <c r="I1" s="7"/>
      <c r="J1" s="7"/>
      <c r="K1" s="7"/>
      <c r="L1" s="7"/>
      <c r="M1" s="7"/>
      <c r="N1" s="7"/>
      <c r="O1" s="7"/>
      <c r="P1" s="7"/>
      <c r="Q1" s="7"/>
      <c r="R1" s="7"/>
      <c r="S1" s="7"/>
      <c r="T1" s="7"/>
      <c r="U1" s="7"/>
      <c r="V1" s="7"/>
      <c r="W1" s="7"/>
      <c r="X1" s="7"/>
    </row>
    <row r="2" spans="1:24" ht="60.6" customHeight="1" thickBot="1" x14ac:dyDescent="0.35">
      <c r="C2" s="174" t="s">
        <v>2884</v>
      </c>
      <c r="D2" s="175"/>
      <c r="E2" s="175"/>
      <c r="F2" s="175"/>
      <c r="G2" s="175"/>
      <c r="H2" s="175"/>
      <c r="I2" s="175"/>
      <c r="J2" s="175"/>
      <c r="K2" s="175"/>
      <c r="L2" s="175"/>
      <c r="M2" s="175"/>
      <c r="N2" s="175"/>
      <c r="O2" s="176"/>
      <c r="P2" s="7"/>
      <c r="Q2" s="7"/>
      <c r="R2" s="7"/>
      <c r="S2" s="7"/>
      <c r="T2" s="7"/>
      <c r="U2" s="7"/>
      <c r="V2" s="7"/>
      <c r="W2" s="7"/>
      <c r="X2" s="7"/>
    </row>
    <row r="3" spans="1:24" ht="57.6" customHeight="1" x14ac:dyDescent="0.45">
      <c r="C3" s="35" t="s">
        <v>2910</v>
      </c>
      <c r="D3" s="7"/>
      <c r="E3" s="7"/>
      <c r="F3" s="69"/>
      <c r="G3" s="7"/>
      <c r="H3" s="69"/>
      <c r="I3" s="7"/>
      <c r="J3" s="7"/>
      <c r="K3" s="7"/>
      <c r="L3" s="7"/>
      <c r="M3" s="7"/>
      <c r="N3" s="65" t="s">
        <v>6</v>
      </c>
      <c r="O3" s="71">
        <f ca="1">TODAY()</f>
        <v>46183</v>
      </c>
      <c r="P3" s="7"/>
      <c r="Q3" s="7"/>
      <c r="R3" s="7"/>
      <c r="S3" s="7"/>
      <c r="T3" s="7"/>
      <c r="U3" s="7"/>
      <c r="V3" s="7"/>
      <c r="W3" s="7"/>
      <c r="X3" s="7"/>
    </row>
    <row r="4" spans="1:24" ht="27.75" hidden="1" thickTop="1" thickBot="1" x14ac:dyDescent="0.5">
      <c r="C4" s="7"/>
      <c r="D4" s="36"/>
      <c r="E4" s="37" t="s">
        <v>5</v>
      </c>
      <c r="F4" s="38" t="s">
        <v>2895</v>
      </c>
      <c r="G4" s="37" t="s">
        <v>2896</v>
      </c>
      <c r="H4" s="69"/>
      <c r="I4" s="7"/>
      <c r="J4" s="7"/>
      <c r="K4" s="7"/>
      <c r="L4" s="7"/>
      <c r="M4" s="7"/>
      <c r="N4" s="65" t="s">
        <v>6</v>
      </c>
      <c r="O4" s="71">
        <f ca="1">TODAY()</f>
        <v>46183</v>
      </c>
      <c r="P4" s="7"/>
      <c r="Q4" s="7"/>
      <c r="R4" s="7"/>
      <c r="S4" s="7"/>
      <c r="T4" s="7"/>
      <c r="U4" s="7"/>
      <c r="V4" s="7"/>
      <c r="W4" s="7"/>
      <c r="X4" s="7"/>
    </row>
    <row r="5" spans="1:24" ht="45" hidden="1" customHeight="1" thickTop="1" thickBot="1" x14ac:dyDescent="0.35">
      <c r="C5" s="177" t="s">
        <v>2897</v>
      </c>
      <c r="D5" s="198"/>
      <c r="E5" s="39" t="s">
        <v>2870</v>
      </c>
      <c r="F5" s="40" t="s">
        <v>2876</v>
      </c>
      <c r="G5" s="39" t="s">
        <v>2878</v>
      </c>
      <c r="H5" s="69"/>
      <c r="I5" s="7"/>
      <c r="J5" s="7"/>
      <c r="K5" s="7"/>
      <c r="L5" s="7"/>
      <c r="M5" s="7"/>
      <c r="N5" s="7"/>
      <c r="O5" s="7"/>
      <c r="P5" s="7"/>
      <c r="Q5" s="7"/>
      <c r="R5" s="7"/>
      <c r="S5" s="7"/>
      <c r="T5" s="7"/>
      <c r="U5" s="7"/>
      <c r="V5" s="7"/>
      <c r="W5" s="7"/>
      <c r="X5" s="7"/>
    </row>
    <row r="6" spans="1:24" ht="42" hidden="1" customHeight="1" thickTop="1" thickBot="1" x14ac:dyDescent="0.35">
      <c r="C6" s="72"/>
      <c r="D6" s="72"/>
      <c r="E6" s="7"/>
      <c r="F6" s="69"/>
      <c r="G6" s="7"/>
      <c r="H6" s="69"/>
      <c r="I6" s="199" t="s">
        <v>2908</v>
      </c>
      <c r="J6" s="102" t="str">
        <f>rank!F3</f>
        <v>Unit 1</v>
      </c>
      <c r="K6" s="102" t="str">
        <f>rank!F4</f>
        <v>Unit 2</v>
      </c>
      <c r="L6" s="102" t="str">
        <f>rank!F5</f>
        <v>Unit 3</v>
      </c>
      <c r="M6" s="7"/>
      <c r="N6" s="7"/>
      <c r="O6" s="7"/>
      <c r="P6" s="7"/>
      <c r="Q6" s="7"/>
      <c r="R6" s="7"/>
      <c r="S6" s="7"/>
      <c r="T6" s="7"/>
      <c r="U6" s="7"/>
      <c r="V6" s="7"/>
      <c r="W6" s="7"/>
      <c r="X6" s="7"/>
    </row>
    <row r="7" spans="1:24" ht="30.6" hidden="1" customHeight="1" thickTop="1" thickBot="1" x14ac:dyDescent="0.35">
      <c r="C7" s="177" t="s">
        <v>2899</v>
      </c>
      <c r="D7" s="198"/>
      <c r="E7" s="73">
        <v>44986</v>
      </c>
      <c r="F7" s="69"/>
      <c r="G7" s="41"/>
      <c r="H7" s="69"/>
      <c r="I7" s="199"/>
      <c r="J7" s="103">
        <f>rank!G3</f>
        <v>0</v>
      </c>
      <c r="K7" s="103">
        <f>rank!G4</f>
        <v>0</v>
      </c>
      <c r="L7" s="103">
        <f>rank!G5</f>
        <v>0</v>
      </c>
      <c r="M7" s="7"/>
      <c r="N7" s="7"/>
      <c r="O7" s="7"/>
      <c r="P7" s="7"/>
      <c r="Q7" s="7"/>
      <c r="R7" s="7"/>
      <c r="S7" s="7"/>
      <c r="T7" s="7"/>
      <c r="U7" s="7"/>
      <c r="V7" s="7"/>
      <c r="W7" s="7"/>
      <c r="X7" s="7"/>
    </row>
    <row r="8" spans="1:24" ht="29.45" hidden="1" customHeight="1" thickTop="1" thickBot="1" x14ac:dyDescent="0.35">
      <c r="C8" s="177" t="s">
        <v>2900</v>
      </c>
      <c r="D8" s="198"/>
      <c r="E8" s="74">
        <v>44927</v>
      </c>
      <c r="F8" s="69"/>
      <c r="G8" s="7"/>
      <c r="H8" s="69"/>
      <c r="I8" s="7"/>
      <c r="J8" s="7"/>
      <c r="K8" s="7"/>
      <c r="L8" s="7"/>
      <c r="M8" s="7"/>
      <c r="N8" s="7"/>
      <c r="O8" s="7"/>
      <c r="P8" s="7"/>
      <c r="Q8" s="7"/>
      <c r="R8" s="7"/>
      <c r="S8" s="7"/>
      <c r="T8" s="7"/>
      <c r="U8" s="7"/>
      <c r="V8" s="7"/>
      <c r="W8" s="7"/>
      <c r="X8" s="7"/>
    </row>
    <row r="9" spans="1:24" ht="13.9" customHeight="1" x14ac:dyDescent="0.3">
      <c r="C9" s="72"/>
      <c r="D9" s="72"/>
      <c r="E9" s="104"/>
      <c r="F9" s="69"/>
      <c r="G9" s="41"/>
      <c r="H9" s="69"/>
      <c r="I9" s="7"/>
      <c r="J9" s="7"/>
      <c r="K9" s="7"/>
      <c r="L9" s="7"/>
      <c r="M9" s="7"/>
      <c r="N9" s="7"/>
      <c r="O9" s="7"/>
      <c r="P9" s="7"/>
      <c r="Q9" s="7"/>
      <c r="R9" s="7"/>
      <c r="S9" s="7"/>
      <c r="T9" s="7"/>
      <c r="U9" s="7"/>
      <c r="V9" s="7"/>
      <c r="W9" s="7"/>
      <c r="X9" s="7"/>
    </row>
    <row r="11" spans="1:24" ht="21" thickBot="1" x14ac:dyDescent="0.4">
      <c r="C11" s="76" t="s">
        <v>88</v>
      </c>
      <c r="D11" s="44"/>
      <c r="E11" s="168">
        <f>'Falls Summary'!$E$7</f>
        <v>46174</v>
      </c>
      <c r="F11" s="168"/>
      <c r="G11" s="169" t="s">
        <v>11</v>
      </c>
      <c r="H11" s="169"/>
      <c r="I11" s="7"/>
      <c r="J11" s="7"/>
      <c r="K11" s="7"/>
      <c r="L11" s="7"/>
      <c r="M11" s="7"/>
      <c r="N11" s="7"/>
      <c r="O11" s="7"/>
      <c r="P11" s="7"/>
      <c r="Q11" s="7"/>
      <c r="R11" s="7"/>
      <c r="S11" s="7"/>
      <c r="T11" s="7"/>
      <c r="U11" s="7"/>
      <c r="V11" s="7"/>
      <c r="W11" s="7"/>
      <c r="X11" s="7"/>
    </row>
    <row r="12" spans="1:24" ht="39.6" customHeight="1" thickTop="1" thickBot="1" x14ac:dyDescent="0.35">
      <c r="C12" s="61"/>
      <c r="D12" s="62"/>
      <c r="E12" s="107" t="s">
        <v>2911</v>
      </c>
      <c r="F12" s="107" t="s">
        <v>2912</v>
      </c>
      <c r="G12" s="107" t="s">
        <v>2911</v>
      </c>
      <c r="H12" s="107" t="s">
        <v>2912</v>
      </c>
      <c r="I12" s="7"/>
      <c r="J12" s="164" t="s">
        <v>89</v>
      </c>
      <c r="K12" s="164"/>
      <c r="L12" s="165" t="s">
        <v>90</v>
      </c>
      <c r="M12" s="166"/>
      <c r="N12" s="166"/>
      <c r="O12" s="167"/>
      <c r="P12" s="7"/>
      <c r="Q12" s="7"/>
      <c r="R12" s="193" t="s">
        <v>2909</v>
      </c>
      <c r="S12" s="193"/>
      <c r="T12" s="194"/>
      <c r="U12" s="195" t="str">
        <f>'Falls Summary'!$S$46</f>
        <v>Unit 1</v>
      </c>
      <c r="V12" s="196"/>
      <c r="W12" s="196"/>
      <c r="X12" s="197"/>
    </row>
    <row r="13" spans="1:24" ht="18.75" thickTop="1" thickBot="1" x14ac:dyDescent="0.35">
      <c r="A13" s="46">
        <v>1</v>
      </c>
      <c r="C13" s="129" t="s">
        <v>90</v>
      </c>
      <c r="D13" s="130" t="s">
        <v>3</v>
      </c>
      <c r="E13" s="135">
        <f>COUNTIFS('Falls Data Entry'!$H$6:$H$423,"&lt;&gt;"&amp;" ",'Falls Data Entry'!$Q$6:$Q$423,"="&amp;"Skin tear",'Falls Data Entry'!$H$6:$H$423,"&gt;="&amp;DATE(YEAR('Falls Injury Summary'!$E$7),MONTH('Falls Injury Summary'!$E$7),1),'Falls Data Entry'!$H$6:$H$423,"&lt;="&amp;EOMONTH(DATE(YEAR('Falls Injury Summary'!$E$7),MONTH('Falls Injury Summary'!$E$7),1),0))</f>
        <v>0</v>
      </c>
      <c r="F13" s="136" t="str">
        <f>IFERROR(E13/($E$13+$E$17+$E$21+$E$25+$E$29+$E$33+$E$37)," ")</f>
        <v xml:space="preserve"> </v>
      </c>
      <c r="G13" s="137">
        <f>COUNTIFS('Falls Data Entry'!$H$6:$H$423,"&lt;&gt;"&amp;" ",'Falls Data Entry'!$Q$6:$Q$423,"="&amp;"Skin tear",'Falls Data Entry'!$H$6:$H$423,"&gt;="&amp;DATE(YEAR(VALUE('Falls Injury Summary'!$E$8)),1,1),'Falls Data Entry'!$H$6:$H$423,"&lt;="&amp;DATE(YEAR(VALUE('Falls Injury Summary'!$E$8)),12,31))</f>
        <v>0</v>
      </c>
      <c r="H13" s="138" t="str">
        <f>IFERROR(G13/($G$13+$G$17+$G$21+$G$25+$G$29+$G$33+$G$37)," ")</f>
        <v xml:space="preserve"> </v>
      </c>
      <c r="I13" s="7"/>
      <c r="J13" s="7"/>
      <c r="K13" s="7"/>
      <c r="L13" s="46">
        <f>_xlfn.XLOOKUP(L12,$C$13:$C$40, $A$13:$A$40,"",0)</f>
        <v>1</v>
      </c>
      <c r="M13" s="7"/>
      <c r="N13" s="7"/>
      <c r="O13" s="7"/>
      <c r="P13" s="7"/>
      <c r="Q13" s="7"/>
      <c r="R13" s="7"/>
      <c r="S13" s="7"/>
      <c r="T13" s="7"/>
      <c r="U13" s="7"/>
      <c r="V13" s="7"/>
      <c r="W13" s="7"/>
      <c r="X13" s="7"/>
    </row>
    <row r="14" spans="1:24" ht="18" thickTop="1" x14ac:dyDescent="0.3">
      <c r="A14" s="46">
        <v>1</v>
      </c>
      <c r="C14" s="83"/>
      <c r="D14" s="84" t="str">
        <f>IF(ISNONTEXT('Falls Summary'!$E$5),"",'Falls Summary'!$E$5)</f>
        <v>Unit 1</v>
      </c>
      <c r="E14" s="16">
        <f>COUNTIFS('Falls Data Entry'!$H$6:$H$423,"&lt;&gt;"&amp;" ",'Falls Data Entry'!$Q$6:$Q$423,"="&amp;"Skin tear",'Falls Data Entry'!$H$6:$H$423,"&gt;="&amp;DATE(YEAR('Falls Injury Summary'!$E$7),MONTH('Falls Injury Summary'!$E$7),1),'Falls Data Entry'!$H$6:$H$423,"&lt;="&amp;EOMONTH(DATE(YEAR('Falls Injury Summary'!$E$7),MONTH('Falls Injury Summary'!$E$7),1),0),'Falls Data Entry'!$A$6:$A$423,D14)</f>
        <v>0</v>
      </c>
      <c r="F14" s="95" t="str">
        <f>IFERROR(E14/($E$14+$E$18+$E$22+$E$26+$E$30+$E$34+$E$38)," ")</f>
        <v xml:space="preserve"> </v>
      </c>
      <c r="G14" s="16">
        <f>COUNTIFS('Falls Data Entry'!$H$6:$H$423,"&lt;&gt;"&amp;" ",'Falls Data Entry'!$Q$6:$Q$423,"="&amp;"Skin tear",'Falls Data Entry'!$H$6:$H$423,"&gt;="&amp;DATE(YEAR(VALUE('Falls Injury Summary'!$E$8)),1,1),'Falls Data Entry'!$H$6:$H$423,"&lt;="&amp;DATE(YEAR(VALUE('Falls Injury Summary'!$E$8)),12,31),'Falls Data Entry'!$A$6:$A$423,D14)</f>
        <v>0</v>
      </c>
      <c r="H14" s="95" t="str">
        <f>IFERROR(G14/($G$14+$G$18+$G$22+$G$26+$G$30+$G$34+$G$38)," ")</f>
        <v xml:space="preserve"> </v>
      </c>
      <c r="I14" s="7"/>
      <c r="J14" s="81"/>
      <c r="K14" s="85">
        <f>'Falls Summary'!$E$7</f>
        <v>46174</v>
      </c>
      <c r="L14" s="79" t="s">
        <v>11</v>
      </c>
      <c r="M14" s="7"/>
      <c r="N14" s="7"/>
      <c r="O14" s="7"/>
      <c r="P14" s="7"/>
      <c r="Q14" s="7"/>
      <c r="R14" s="7"/>
      <c r="S14" s="7"/>
      <c r="T14" s="7"/>
      <c r="U14" s="7"/>
      <c r="V14" s="7"/>
      <c r="W14" s="7"/>
      <c r="X14" s="7"/>
    </row>
    <row r="15" spans="1:24" ht="17.25" x14ac:dyDescent="0.3">
      <c r="A15" s="46">
        <v>1</v>
      </c>
      <c r="C15" s="83"/>
      <c r="D15" s="84" t="str">
        <f>IF(ISNONTEXT('Falls Summary'!$F$5),"",'Falls Summary'!$F$5)</f>
        <v>Unit 2</v>
      </c>
      <c r="E15" s="22">
        <f>COUNTIFS('Falls Data Entry'!$H$6:$H$423,"&lt;&gt;"&amp;" ",'Falls Data Entry'!$Q$6:$Q$423,"="&amp;"Skin tear",'Falls Data Entry'!$H$6:$H$423,"&gt;="&amp;DATE(YEAR('Falls Injury Summary'!$E$7),MONTH('Falls Injury Summary'!$E$7),1),'Falls Data Entry'!$H$6:$H$423,"&lt;="&amp;EOMONTH(DATE(YEAR('Falls Injury Summary'!$E$7),MONTH('Falls Injury Summary'!$E$7),1),0),'Falls Data Entry'!$A$6:$A$423,D15)</f>
        <v>0</v>
      </c>
      <c r="F15" s="82" t="str">
        <f>IFERROR(E15/($E$15+$E$19+$E$23+$E$27+$E$31+$E$35+$E$39)," ")</f>
        <v xml:space="preserve"> </v>
      </c>
      <c r="G15" s="22">
        <f>COUNTIFS('Falls Data Entry'!$H$6:$H$423,"&lt;&gt;"&amp;" ",'Falls Data Entry'!$Q$6:$Q$423,"="&amp;"Skin tear",'Falls Data Entry'!$H$6:$H$423,"&gt;="&amp;DATE(YEAR(VALUE('Falls Injury Summary'!$E$8)),1,1),'Falls Data Entry'!$H$6:$H$423,"&lt;="&amp;DATE(YEAR(VALUE('Falls Injury Summary'!$E$8)),12,31),'Falls Data Entry'!$A$6:$A$423,D15)</f>
        <v>0</v>
      </c>
      <c r="H15" s="82" t="str">
        <f>IFERROR(G15/($G$15+$G$19+$G$23+$G$27+$G$31+$G$35+$G$39)," ")</f>
        <v xml:space="preserve"> </v>
      </c>
      <c r="I15" s="7"/>
      <c r="J15" s="84" t="str">
        <f>IF(ISNONTEXT('Falls Summary'!$E$5),"",'Falls Summary'!$E$5)</f>
        <v>Unit 1</v>
      </c>
      <c r="K15" s="86" t="str" cm="1">
        <f t="array" ref="K15">_xlfn.XLOOKUP(J15&amp;$L$13,$D$13:$D$40&amp;$A$13:$A$40,$F$13:$F$40,"",0)</f>
        <v xml:space="preserve"> </v>
      </c>
      <c r="L15" s="86" t="str" cm="1">
        <f t="array" ref="L15">_xlfn.XLOOKUP(J15&amp;$L$13,$D$13:$D$40&amp;$A$13:$A$40,$H$13:$H$40,"",0)</f>
        <v xml:space="preserve"> </v>
      </c>
      <c r="M15" s="7"/>
      <c r="N15" s="7"/>
      <c r="O15" s="7"/>
      <c r="P15" s="7"/>
      <c r="Q15" s="7"/>
      <c r="R15" s="7"/>
      <c r="S15" s="7"/>
      <c r="T15" s="7"/>
      <c r="U15" s="7"/>
      <c r="V15" s="7"/>
      <c r="W15" s="7"/>
      <c r="X15" s="7"/>
    </row>
    <row r="16" spans="1:24" ht="18" thickBot="1" x14ac:dyDescent="0.35">
      <c r="A16" s="46">
        <v>1</v>
      </c>
      <c r="C16" s="83"/>
      <c r="D16" s="84" t="str">
        <f>IF(ISNONTEXT('Falls Summary'!$G$5),"",'Falls Summary'!$G$5)</f>
        <v>Unit 3</v>
      </c>
      <c r="E16" s="133">
        <f>COUNTIFS('Falls Data Entry'!$H$6:$H$423,"&lt;&gt;"&amp;" ",'Falls Data Entry'!$Q$6:$Q$423,"="&amp;"Skin tear",'Falls Data Entry'!$H$6:$H$423,"&gt;="&amp;DATE(YEAR('Falls Injury Summary'!$E$7),MONTH('Falls Injury Summary'!$E$7),1),'Falls Data Entry'!$H$6:$H$423,"&lt;="&amp;EOMONTH(DATE(YEAR('Falls Injury Summary'!$E$7),MONTH('Falls Injury Summary'!$E$7),1),0),'Falls Data Entry'!$A$6:$A$423,D16)</f>
        <v>0</v>
      </c>
      <c r="F16" s="134" t="str">
        <f>IFERROR(E16/($E$16+$E$20+$E$24+$E$28+$E$32+$E$36+$E$40)," ")</f>
        <v xml:space="preserve"> </v>
      </c>
      <c r="G16" s="133">
        <f>COUNTIFS('Falls Data Entry'!$H$6:$H$423,"&lt;&gt;"&amp;" ",'Falls Data Entry'!$Q$6:$Q$423,"="&amp;"Skin tear",'Falls Data Entry'!$H$6:$H$423,"&gt;="&amp;DATE(YEAR(VALUE('Falls Injury Summary'!$E$8)),1,1),'Falls Data Entry'!$H$6:$H$423,"&lt;="&amp;DATE(YEAR(VALUE('Falls Injury Summary'!$E$8)),12,31),'Falls Data Entry'!$A$6:$A$423,D16)</f>
        <v>0</v>
      </c>
      <c r="H16" s="134" t="str">
        <f>IFERROR(G16/($G$16+$G$20+$G$24+$G$28+$G$32+$G$36+$G$40)," ")</f>
        <v xml:space="preserve"> </v>
      </c>
      <c r="I16" s="7"/>
      <c r="J16" s="84" t="str">
        <f>IF(ISNONTEXT('Falls Summary'!$F$5),"",'Falls Summary'!$F$5)</f>
        <v>Unit 2</v>
      </c>
      <c r="K16" s="86" t="str" cm="1">
        <f t="array" ref="K16">_xlfn.XLOOKUP(J16&amp;$L$13,$D$13:$D$40&amp;$A$13:$A$40,$F$13:$F$40,"",0)</f>
        <v xml:space="preserve"> </v>
      </c>
      <c r="L16" s="86" t="str" cm="1">
        <f t="array" ref="L16">_xlfn.XLOOKUP(J16&amp;$L$13,$D$13:$D$40&amp;$A$13:$A$40,$H$13:$H$40,"",0)</f>
        <v xml:space="preserve"> </v>
      </c>
      <c r="M16" s="7"/>
      <c r="N16" s="7"/>
      <c r="O16" s="7"/>
      <c r="P16" s="7"/>
      <c r="Q16" s="7"/>
      <c r="R16" s="7"/>
      <c r="S16" s="7"/>
      <c r="T16" s="7"/>
      <c r="U16" s="7"/>
      <c r="V16" s="7"/>
      <c r="W16" s="7"/>
      <c r="X16" s="7"/>
    </row>
    <row r="17" spans="1:12" ht="18.75" thickTop="1" thickBot="1" x14ac:dyDescent="0.35">
      <c r="A17" s="46">
        <v>2</v>
      </c>
      <c r="C17" s="129" t="s">
        <v>91</v>
      </c>
      <c r="D17" s="130" t="s">
        <v>3</v>
      </c>
      <c r="E17" s="135">
        <f>COUNTIFS('Falls Data Entry'!$H$6:$H$423,"&lt;&gt;"&amp;" ",'Falls Data Entry'!$Q$6:$Q$423,"="&amp;"Confusion",'Falls Data Entry'!$H$6:$H$423,"&gt;="&amp;DATE(YEAR('Falls Injury Summary'!$E$7),MONTH('Falls Injury Summary'!$E$7),1),'Falls Data Entry'!$H$6:$H$423,"&lt;="&amp;EOMONTH(DATE(YEAR('Falls Injury Summary'!$E$7),MONTH('Falls Injury Summary'!$E$7),1),0))</f>
        <v>0</v>
      </c>
      <c r="F17" s="136" t="str">
        <f>IFERROR(E17/($E$13+$E$17+$E$21+$E$25+$E$29+$E$33+$E$37)," ")</f>
        <v xml:space="preserve"> </v>
      </c>
      <c r="G17" s="137">
        <f>COUNTIFS('Falls Data Entry'!$H$6:$H$423,"&lt;&gt;"&amp;" ",'Falls Data Entry'!$Q$6:$Q$423,"="&amp;"Confusion",'Falls Data Entry'!$H$6:$H$423,"&gt;="&amp;DATE(YEAR(VALUE('Falls Injury Summary'!$E$8)),1,1),'Falls Data Entry'!$H$6:$H$423,"&lt;="&amp;DATE(YEAR(VALUE('Falls Injury Summary'!$E$8)),12,31))</f>
        <v>0</v>
      </c>
      <c r="H17" s="138" t="str">
        <f>IFERROR(G17/($G$13+$G$17+$G$21+$G$25+$G$29+$G$33+$G$37)," ")</f>
        <v xml:space="preserve"> </v>
      </c>
      <c r="I17" s="7"/>
      <c r="J17" s="84" t="str">
        <f>IF(ISNONTEXT('Falls Summary'!$G$5),"",'Falls Summary'!$G$5)</f>
        <v>Unit 3</v>
      </c>
      <c r="K17" s="86" t="str" cm="1">
        <f t="array" ref="K17">_xlfn.XLOOKUP(J17&amp;$L$13,$D$13:$D$40&amp;$A$13:$A$40,$F$13:$F$40,"",0)</f>
        <v xml:space="preserve"> </v>
      </c>
      <c r="L17" s="86" t="str" cm="1">
        <f t="array" ref="L17">_xlfn.XLOOKUP(J17&amp;$L$13,$D$13:$D$40&amp;$A$13:$A$40,$H$13:$H$40,"",0)</f>
        <v xml:space="preserve"> </v>
      </c>
    </row>
    <row r="18" spans="1:12" ht="18" thickTop="1" x14ac:dyDescent="0.3">
      <c r="A18" s="46">
        <v>2</v>
      </c>
      <c r="C18" s="83"/>
      <c r="D18" s="84" t="str">
        <f>IF(ISNONTEXT('Falls Summary'!$E$5),"",'Falls Summary'!$E$5)</f>
        <v>Unit 1</v>
      </c>
      <c r="E18" s="16">
        <f>COUNTIFS('Falls Data Entry'!$H$6:$H$423,"&lt;&gt;"&amp;" ",'Falls Data Entry'!$Q$6:$Q$423,"="&amp;"Confusion",'Falls Data Entry'!$H$6:$H$423,"&gt;="&amp;DATE(YEAR('Falls Injury Summary'!$E$7),MONTH('Falls Injury Summary'!$E$7),1),'Falls Data Entry'!$H$6:$H$423,"&lt;="&amp;EOMONTH(DATE(YEAR('Falls Injury Summary'!$E$7),MONTH('Falls Injury Summary'!$E$7),1),0),'Falls Data Entry'!$A$6:$A$423,D18)</f>
        <v>0</v>
      </c>
      <c r="F18" s="95" t="str">
        <f>IFERROR(E18/($E$14+$E$18+$E$22+$E$26+$E$30+$E$34+$E$38)," ")</f>
        <v xml:space="preserve"> </v>
      </c>
      <c r="G18" s="16">
        <f>COUNTIFS('Falls Data Entry'!$H$6:$H$423,"&lt;&gt;"&amp;" ",'Falls Data Entry'!$Q$6:$Q$423,"="&amp;"Confusion",'Falls Data Entry'!$H$6:$H$423,"&gt;="&amp;DATE(YEAR(VALUE('Falls Injury Summary'!$E$8)),1,1),'Falls Data Entry'!$H$6:$H$423,"&lt;="&amp;DATE(YEAR(VALUE('Falls Injury Summary'!$E$8)),12,31),'Falls Data Entry'!$A$6:$A$423,D18)</f>
        <v>0</v>
      </c>
      <c r="H18" s="95" t="str">
        <f>IFERROR(G18/($G$14+$G$18+$G$22+$G$26+$G$30+$G$34+$G$38)," ")</f>
        <v xml:space="preserve"> </v>
      </c>
      <c r="I18" s="7"/>
      <c r="J18" s="84" t="s">
        <v>3</v>
      </c>
      <c r="K18" s="45" t="str" cm="1">
        <f t="array" ref="K18">_xlfn.XLOOKUP(J18&amp;$L$13,$D$13:$D$40&amp;$A$13:$A$40,$F$13:$F$40,"",0)</f>
        <v xml:space="preserve"> </v>
      </c>
      <c r="L18" s="45" t="str" cm="1">
        <f t="array" ref="L18">_xlfn.XLOOKUP(J18&amp;$L$13,$D$13:$D$40&amp;$A$13:$A$40,$H$13:$H$40,"",0)</f>
        <v xml:space="preserve"> </v>
      </c>
    </row>
    <row r="19" spans="1:12" ht="17.25" x14ac:dyDescent="0.3">
      <c r="A19" s="46">
        <v>2</v>
      </c>
      <c r="C19" s="83"/>
      <c r="D19" s="84" t="str">
        <f>IF(ISNONTEXT('Falls Summary'!$F$5),"",'Falls Summary'!$F$5)</f>
        <v>Unit 2</v>
      </c>
      <c r="E19" s="22">
        <f>COUNTIFS('Falls Data Entry'!$H$6:$H$423,"&lt;&gt;"&amp;" ",'Falls Data Entry'!$Q$6:$Q$423,"="&amp;"Confusion",'Falls Data Entry'!$H$6:$H$423,"&gt;="&amp;DATE(YEAR('Falls Injury Summary'!$E$7),MONTH('Falls Injury Summary'!$E$7),1),'Falls Data Entry'!$H$6:$H$423,"&lt;="&amp;EOMONTH(DATE(YEAR('Falls Injury Summary'!$E$7),MONTH('Falls Injury Summary'!$E$7),1),0),'Falls Data Entry'!$A$6:$A$423,D19)</f>
        <v>0</v>
      </c>
      <c r="F19" s="82" t="str">
        <f>IFERROR(E19/($E$15+$E$19+$E$23+$E$27+$E$31+$E$35+$E$39)," ")</f>
        <v xml:space="preserve"> </v>
      </c>
      <c r="G19" s="22">
        <f>COUNTIFS('Falls Data Entry'!$H$6:$H$423,"&lt;&gt;"&amp;" ",'Falls Data Entry'!$Q$6:$Q$423,"="&amp;"Confusion",'Falls Data Entry'!$H$6:$H$423,"&gt;="&amp;DATE(YEAR(VALUE('Falls Injury Summary'!$E$8)),1,1),'Falls Data Entry'!$H$6:$H$423,"&lt;="&amp;DATE(YEAR(VALUE('Falls Injury Summary'!$E$8)),12,31),'Falls Data Entry'!$A$6:$A$423,D19)</f>
        <v>0</v>
      </c>
      <c r="H19" s="82" t="str">
        <f>IFERROR(G19/($G$15+$G$19+$G$23+$G$27+$G$31+$G$35+$G$39)," ")</f>
        <v xml:space="preserve"> </v>
      </c>
      <c r="I19" s="7"/>
      <c r="J19" s="7"/>
      <c r="K19" s="7"/>
      <c r="L19" s="7"/>
    </row>
    <row r="20" spans="1:12" ht="18" thickBot="1" x14ac:dyDescent="0.35">
      <c r="A20" s="46">
        <v>2</v>
      </c>
      <c r="C20" s="83"/>
      <c r="D20" s="84" t="str">
        <f>IF(ISNONTEXT('Falls Summary'!$G$5),"",'Falls Summary'!$G$5)</f>
        <v>Unit 3</v>
      </c>
      <c r="E20" s="133">
        <f>COUNTIFS('Falls Data Entry'!$H$6:$H$423,"&lt;&gt;"&amp;" ",'Falls Data Entry'!$Q$6:$Q$423,"="&amp;"Confusion",'Falls Data Entry'!$H$6:$H$423,"&gt;="&amp;DATE(YEAR('Falls Injury Summary'!$E$7),MONTH('Falls Injury Summary'!$E$7),1),'Falls Data Entry'!$H$6:$H$423,"&lt;="&amp;EOMONTH(DATE(YEAR('Falls Injury Summary'!$E$7),MONTH('Falls Injury Summary'!$E$7),1),0),'Falls Data Entry'!$A$6:$A$423,D20)</f>
        <v>0</v>
      </c>
      <c r="F20" s="134" t="str">
        <f>IFERROR(E20/($E$16+$E$20+$E$24+$E$28+$E$32+$E$36+$E$40)," ")</f>
        <v xml:space="preserve"> </v>
      </c>
      <c r="G20" s="133">
        <f>COUNTIFS('Falls Data Entry'!$H$6:$H$423,"&lt;&gt;"&amp;" ",'Falls Data Entry'!$Q$6:$Q$423,"="&amp;"Confusion",'Falls Data Entry'!$H$6:$H$423,"&gt;="&amp;DATE(YEAR(VALUE('Falls Injury Summary'!$E$8)),1,1),'Falls Data Entry'!$H$6:$H$423,"&lt;="&amp;DATE(YEAR(VALUE('Falls Injury Summary'!$E$8)),12,31),'Falls Data Entry'!$A$6:$A$423,D20)</f>
        <v>0</v>
      </c>
      <c r="H20" s="134" t="str">
        <f>IFERROR(G20/($G$16+$G$20+$G$24+$G$28+$G$32+$G$36+$G$40)," ")</f>
        <v xml:space="preserve"> </v>
      </c>
      <c r="I20" s="7"/>
      <c r="J20" s="7"/>
      <c r="K20" s="7"/>
      <c r="L20" s="7"/>
    </row>
    <row r="21" spans="1:12" ht="18.75" thickTop="1" thickBot="1" x14ac:dyDescent="0.35">
      <c r="A21" s="46">
        <v>3</v>
      </c>
      <c r="C21" s="129" t="s">
        <v>92</v>
      </c>
      <c r="D21" s="130" t="s">
        <v>3</v>
      </c>
      <c r="E21" s="135">
        <f>COUNTIFS('Falls Data Entry'!$H$6:$H$423,"&lt;&gt;"&amp;" ",'Falls Data Entry'!$Q$6:$Q$423,"="&amp;"Abrasion",'Falls Data Entry'!$H$6:$H$423,"&gt;="&amp;DATE(YEAR('Falls Injury Summary'!$E$7),MONTH('Falls Injury Summary'!$E$7),1),'Falls Data Entry'!$H$6:$H$423,"&lt;="&amp;EOMONTH(DATE(YEAR('Falls Injury Summary'!$E$7),MONTH('Falls Injury Summary'!$E$7),1),0))</f>
        <v>0</v>
      </c>
      <c r="F21" s="136" t="str">
        <f>IFERROR(E21/($E$13+$E$17+$E$21+$E$25+$E$29+$E$33+$E$37)," ")</f>
        <v xml:space="preserve"> </v>
      </c>
      <c r="G21" s="137">
        <f>COUNTIFS('Falls Data Entry'!$H$6:$H$423,"&lt;&gt;"&amp;" ",'Falls Data Entry'!$Q$6:$Q$423,"="&amp;"Abrasion",'Falls Data Entry'!$H$6:$H$423,"&gt;="&amp;DATE(YEAR(VALUE('Falls Injury Summary'!$E$8)),1,1),'Falls Data Entry'!$H$6:$H$423,"&lt;="&amp;DATE(YEAR(VALUE('Falls Injury Summary'!$E$8)),12,31))</f>
        <v>0</v>
      </c>
      <c r="H21" s="138" t="str">
        <f>IFERROR(G21/($G$13+$G$17+$G$21+$G$25+$G$29+$G$33+$G$37)," ")</f>
        <v xml:space="preserve"> </v>
      </c>
      <c r="I21" s="7"/>
      <c r="J21" s="7"/>
      <c r="K21" s="7"/>
      <c r="L21" s="7"/>
    </row>
    <row r="22" spans="1:12" ht="18" thickTop="1" x14ac:dyDescent="0.3">
      <c r="A22" s="46">
        <v>3</v>
      </c>
      <c r="C22" s="83"/>
      <c r="D22" s="84" t="str">
        <f>IF(ISNONTEXT('Falls Summary'!$E$5),"",'Falls Summary'!$E$5)</f>
        <v>Unit 1</v>
      </c>
      <c r="E22" s="16">
        <f>COUNTIFS('Falls Data Entry'!$H$6:$H$423,"&lt;&gt;"&amp;" ",'Falls Data Entry'!$Q$6:$Q$423,"="&amp;"Abrasion",'Falls Data Entry'!$H$6:$H$423,"&gt;="&amp;DATE(YEAR('Falls Injury Summary'!$E$7),MONTH('Falls Injury Summary'!$E$7),1),'Falls Data Entry'!$H$6:$H$423,"&lt;="&amp;EOMONTH(DATE(YEAR('Falls Injury Summary'!$E$7),MONTH('Falls Injury Summary'!$E$7),1),0),'Falls Data Entry'!$A$6:$A$423,D22)</f>
        <v>0</v>
      </c>
      <c r="F22" s="95" t="str">
        <f>IFERROR(E22/($E$14+$E$18+$E$22+$E$26+$E$30+$E$34+$E$38)," ")</f>
        <v xml:space="preserve"> </v>
      </c>
      <c r="G22" s="16">
        <f>COUNTIFS('Falls Data Entry'!$H$6:$H$423,"&lt;&gt;"&amp;" ",'Falls Data Entry'!$Q$6:$Q$423,"="&amp;"Abrasion",'Falls Data Entry'!$H$6:$H$423,"&gt;="&amp;DATE(YEAR(VALUE('Falls Injury Summary'!$E$8)),1,1),'Falls Data Entry'!$H$6:$H$423,"&lt;="&amp;DATE(YEAR(VALUE('Falls Injury Summary'!$E$8)),12,31),'Falls Data Entry'!$A$6:$A$423,D22)</f>
        <v>0</v>
      </c>
      <c r="H22" s="95" t="str">
        <f>IFERROR(G22/($G$14+$G$18+$G$22+$G$26+$G$30+$G$34+$G$38)," ")</f>
        <v xml:space="preserve"> </v>
      </c>
      <c r="I22" s="7"/>
      <c r="J22" s="7"/>
      <c r="K22" s="7"/>
      <c r="L22" s="7"/>
    </row>
    <row r="23" spans="1:12" ht="17.25" x14ac:dyDescent="0.3">
      <c r="A23" s="46">
        <v>3</v>
      </c>
      <c r="C23" s="83"/>
      <c r="D23" s="84" t="str">
        <f>IF(ISNONTEXT('Falls Summary'!$F$5),"",'Falls Summary'!$F$5)</f>
        <v>Unit 2</v>
      </c>
      <c r="E23" s="22">
        <f>COUNTIFS('Falls Data Entry'!$H$6:$H$423,"&lt;&gt;"&amp;" ",'Falls Data Entry'!$Q$6:$Q$423,"="&amp;"Abrasion",'Falls Data Entry'!$H$6:$H$423,"&gt;="&amp;DATE(YEAR('Falls Injury Summary'!$E$7),MONTH('Falls Injury Summary'!$E$7),1),'Falls Data Entry'!$H$6:$H$423,"&lt;="&amp;EOMONTH(DATE(YEAR('Falls Injury Summary'!$E$7),MONTH('Falls Injury Summary'!$E$7),1),0),'Falls Data Entry'!$A$6:$A$423,D23)</f>
        <v>0</v>
      </c>
      <c r="F23" s="82" t="str">
        <f>IFERROR(E23/($E$15+$E$19+$E$23+$E$27+$E$31+$E$35+$E$39)," ")</f>
        <v xml:space="preserve"> </v>
      </c>
      <c r="G23" s="22">
        <f>COUNTIFS('Falls Data Entry'!$H$6:$H$423,"&lt;&gt;"&amp;" ",'Falls Data Entry'!$Q$6:$Q$423,"="&amp;"Abrasion",'Falls Data Entry'!$H$6:$H$423,"&gt;="&amp;DATE(YEAR(VALUE('Falls Injury Summary'!$E$8)),1,1),'Falls Data Entry'!$H$6:$H$423,"&lt;="&amp;DATE(YEAR(VALUE('Falls Injury Summary'!$E$8)),12,31),'Falls Data Entry'!$A$6:$A$423,D23)</f>
        <v>0</v>
      </c>
      <c r="H23" s="82" t="str">
        <f>IFERROR(G23/($G$15+$G$19+$G$23+$G$27+$G$31+$G$35+$G$39)," ")</f>
        <v xml:space="preserve"> </v>
      </c>
      <c r="I23" s="7"/>
      <c r="J23" s="7"/>
      <c r="K23" s="7"/>
      <c r="L23" s="7"/>
    </row>
    <row r="24" spans="1:12" ht="18" thickBot="1" x14ac:dyDescent="0.35">
      <c r="A24" s="46">
        <v>3</v>
      </c>
      <c r="C24" s="83"/>
      <c r="D24" s="84" t="str">
        <f>IF(ISNONTEXT('Falls Summary'!$G$5),"",'Falls Summary'!$G$5)</f>
        <v>Unit 3</v>
      </c>
      <c r="E24" s="133">
        <f>COUNTIFS('Falls Data Entry'!$H$6:$H$423,"&lt;&gt;"&amp;" ",'Falls Data Entry'!$Q$6:$Q$423,"="&amp;"Abrasion",'Falls Data Entry'!$H$6:$H$423,"&gt;="&amp;DATE(YEAR('Falls Injury Summary'!$E$7),MONTH('Falls Injury Summary'!$E$7),1),'Falls Data Entry'!$H$6:$H$423,"&lt;="&amp;EOMONTH(DATE(YEAR('Falls Injury Summary'!$E$7),MONTH('Falls Injury Summary'!$E$7),1),0),'Falls Data Entry'!$A$6:$A$423,D24)</f>
        <v>0</v>
      </c>
      <c r="F24" s="134" t="str">
        <f>IFERROR(E24/($E$16+$E$20+$E$24+$E$28+$E$32+$E$36+$E$40)," ")</f>
        <v xml:space="preserve"> </v>
      </c>
      <c r="G24" s="133">
        <f>COUNTIFS('Falls Data Entry'!$H$6:$H$423,"&lt;&gt;"&amp;" ",'Falls Data Entry'!$Q$6:$Q$423,"="&amp;"Abrasion",'Falls Data Entry'!$H$6:$H$423,"&gt;="&amp;DATE(YEAR(VALUE('Falls Injury Summary'!$E$8)),1,1),'Falls Data Entry'!$H$6:$H$423,"&lt;="&amp;DATE(YEAR(VALUE('Falls Injury Summary'!$E$8)),12,31),'Falls Data Entry'!$A$6:$A$423,D24)</f>
        <v>0</v>
      </c>
      <c r="H24" s="134" t="str">
        <f>IFERROR(G24/($G$16+$G$20+$G$24+$G$28+$G$32+$G$36+$G$40)," ")</f>
        <v xml:space="preserve"> </v>
      </c>
      <c r="I24" s="7"/>
      <c r="J24" s="7"/>
      <c r="K24" s="7"/>
      <c r="L24" s="7"/>
    </row>
    <row r="25" spans="1:12" ht="18.75" thickTop="1" thickBot="1" x14ac:dyDescent="0.35">
      <c r="A25" s="46">
        <v>4</v>
      </c>
      <c r="C25" s="129" t="s">
        <v>93</v>
      </c>
      <c r="D25" s="130" t="s">
        <v>3</v>
      </c>
      <c r="E25" s="135">
        <f>COUNTIFS('Falls Data Entry'!$H$6:$H$423,"&lt;&gt;"&amp;" ",'Falls Data Entry'!$Q$6:$Q$423,"="&amp;"Bone fracture",'Falls Data Entry'!$H$6:$H$423,"&gt;="&amp;DATE(YEAR('Falls Injury Summary'!$E$7),MONTH('Falls Injury Summary'!$E$7),1),'Falls Data Entry'!$H$6:$H$423,"&lt;="&amp;EOMONTH(DATE(YEAR('Falls Injury Summary'!$E$7),MONTH('Falls Injury Summary'!$E$7),1),0))</f>
        <v>0</v>
      </c>
      <c r="F25" s="136" t="str">
        <f>IFERROR(E25/($E$13+$E$17+$E$21+$E$25+$E$29+$E$33+$E$37)," ")</f>
        <v xml:space="preserve"> </v>
      </c>
      <c r="G25" s="137">
        <f>COUNTIFS('Falls Data Entry'!$H$6:$H$423,"&lt;&gt;"&amp;" ",'Falls Data Entry'!$Q$6:$Q$423,"="&amp;"Bone fracture",'Falls Data Entry'!$H$6:$H$423,"&gt;="&amp;DATE(YEAR(VALUE('Falls Injury Summary'!$E$8)),1,1),'Falls Data Entry'!$H$6:$H$423,"&lt;="&amp;DATE(YEAR(VALUE('Falls Injury Summary'!$E$8)),12,31))</f>
        <v>0</v>
      </c>
      <c r="H25" s="138" t="str">
        <f>IFERROR(G25/($G$13+$G$17+$G$21+$G$25+$G$29+$G$33+$G$37)," ")</f>
        <v xml:space="preserve"> </v>
      </c>
      <c r="I25" s="7"/>
      <c r="J25" s="7"/>
      <c r="K25" s="7"/>
      <c r="L25" s="7"/>
    </row>
    <row r="26" spans="1:12" ht="18" thickTop="1" x14ac:dyDescent="0.3">
      <c r="A26" s="46">
        <v>4</v>
      </c>
      <c r="C26" s="87"/>
      <c r="D26" s="84" t="str">
        <f>IF(ISNONTEXT('Falls Summary'!$E$5),"",'Falls Summary'!$E$5)</f>
        <v>Unit 1</v>
      </c>
      <c r="E26" s="16">
        <f>COUNTIFS('Falls Data Entry'!$H$6:$H$423,"&lt;&gt;"&amp;" ",'Falls Data Entry'!$Q$6:$Q$423,"="&amp;"Bone fracture",'Falls Data Entry'!$H$6:$H$423,"&gt;="&amp;DATE(YEAR('Falls Injury Summary'!$E$7),MONTH('Falls Injury Summary'!$E$7),1),'Falls Data Entry'!$H$6:$H$423,"&lt;="&amp;EOMONTH(DATE(YEAR('Falls Injury Summary'!$E$7),MONTH('Falls Injury Summary'!$E$7),1),0),'Falls Data Entry'!$A$6:$A$423,D26)</f>
        <v>0</v>
      </c>
      <c r="F26" s="95" t="str">
        <f>IFERROR(E26/($E$14+$E$18+$E$22+$E$26+$E$30+$E$34+$E$38)," ")</f>
        <v xml:space="preserve"> </v>
      </c>
      <c r="G26" s="16">
        <f>COUNTIFS('Falls Data Entry'!$H$6:$H$423,"&lt;&gt;"&amp;" ",'Falls Data Entry'!$Q$6:$Q$423,"="&amp;"Bone fracture",'Falls Data Entry'!$H$6:$H$423,"&gt;="&amp;DATE(YEAR(VALUE('Falls Injury Summary'!$E$8)),1,1),'Falls Data Entry'!$H$6:$H$423,"&lt;="&amp;DATE(YEAR(VALUE('Falls Injury Summary'!$E$8)),12,31),'Falls Data Entry'!$A$6:$A$423,D26)</f>
        <v>0</v>
      </c>
      <c r="H26" s="95" t="str">
        <f>IFERROR(G26/($G$14+$G$18+$G$22+$G$26+$G$30+$G$34+$G$38)," ")</f>
        <v xml:space="preserve"> </v>
      </c>
      <c r="I26" s="7"/>
      <c r="J26" s="7"/>
      <c r="K26" s="7"/>
      <c r="L26" s="7"/>
    </row>
    <row r="27" spans="1:12" ht="17.25" x14ac:dyDescent="0.3">
      <c r="A27" s="46">
        <v>4</v>
      </c>
      <c r="C27" s="87"/>
      <c r="D27" s="84" t="str">
        <f>IF(ISNONTEXT('Falls Summary'!$F$5),"",'Falls Summary'!$F$5)</f>
        <v>Unit 2</v>
      </c>
      <c r="E27" s="22">
        <f>COUNTIFS('Falls Data Entry'!$H$6:$H$423,"&lt;&gt;"&amp;" ",'Falls Data Entry'!$Q$6:$Q$423,"="&amp;"Bone fracture",'Falls Data Entry'!$H$6:$H$423,"&gt;="&amp;DATE(YEAR('Falls Injury Summary'!$E$7),MONTH('Falls Injury Summary'!$E$7),1),'Falls Data Entry'!$H$6:$H$423,"&lt;="&amp;EOMONTH(DATE(YEAR('Falls Injury Summary'!$E$7),MONTH('Falls Injury Summary'!$E$7),1),0),'Falls Data Entry'!$A$6:$A$423,D27)</f>
        <v>0</v>
      </c>
      <c r="F27" s="82" t="str">
        <f>IFERROR(E27/($E$15+$E$19+$E$23+$E$27+$E$31+$E$35+$E$39)," ")</f>
        <v xml:space="preserve"> </v>
      </c>
      <c r="G27" s="22">
        <f>COUNTIFS('Falls Data Entry'!$H$6:$H$423,"&lt;&gt;"&amp;" ",'Falls Data Entry'!$Q$6:$Q$423,"="&amp;"Bone fracture",'Falls Data Entry'!$H$6:$H$423,"&gt;="&amp;DATE(YEAR(VALUE('Falls Injury Summary'!$E$8)),1,1),'Falls Data Entry'!$H$6:$H$423,"&lt;="&amp;DATE(YEAR(VALUE('Falls Injury Summary'!$E$8)),12,31),'Falls Data Entry'!$A$6:$A$423,D27)</f>
        <v>0</v>
      </c>
      <c r="H27" s="82" t="str">
        <f>IFERROR(G27/($G$15+$G$19+$G$23+$G$27+$G$31+$G$35+$G$39)," ")</f>
        <v xml:space="preserve"> </v>
      </c>
      <c r="I27" s="7"/>
      <c r="J27" s="7"/>
      <c r="K27" s="7"/>
      <c r="L27" s="7"/>
    </row>
    <row r="28" spans="1:12" ht="18" thickBot="1" x14ac:dyDescent="0.35">
      <c r="A28" s="46">
        <v>4</v>
      </c>
      <c r="C28" s="87"/>
      <c r="D28" s="84" t="str">
        <f>IF(ISNONTEXT('Falls Summary'!$G$5),"",'Falls Summary'!$G$5)</f>
        <v>Unit 3</v>
      </c>
      <c r="E28" s="133">
        <f>COUNTIFS('Falls Data Entry'!$H$6:$H$423,"&lt;&gt;"&amp;" ",'Falls Data Entry'!$Q$6:$Q$423,"="&amp;"Bone fracture",'Falls Data Entry'!$H$6:$H$423,"&gt;="&amp;DATE(YEAR('Falls Injury Summary'!$E$7),MONTH('Falls Injury Summary'!$E$7),1),'Falls Data Entry'!$H$6:$H$423,"&lt;="&amp;EOMONTH(DATE(YEAR('Falls Injury Summary'!$E$7),MONTH('Falls Injury Summary'!$E$7),1),0),'Falls Data Entry'!$A$6:$A$423,D28)</f>
        <v>0</v>
      </c>
      <c r="F28" s="134" t="str">
        <f>IFERROR(E28/($E$16+$E$20+$E$24+$E$28+$E$32+$E$36+$E$40)," ")</f>
        <v xml:space="preserve"> </v>
      </c>
      <c r="G28" s="133">
        <f>COUNTIFS('Falls Data Entry'!$H$6:$H$423,"&lt;&gt;"&amp;" ",'Falls Data Entry'!$Q$6:$Q$423,"="&amp;"Bone fracture",'Falls Data Entry'!$H$6:$H$423,"&gt;="&amp;DATE(YEAR(VALUE('Falls Injury Summary'!$E$8)),1,1),'Falls Data Entry'!$H$6:$H$423,"&lt;="&amp;DATE(YEAR(VALUE('Falls Injury Summary'!$E$8)),12,31),'Falls Data Entry'!$A$6:$A$423,D28)</f>
        <v>0</v>
      </c>
      <c r="H28" s="134" t="str">
        <f>IFERROR(G28/($G$16+$G$20+$G$24+$G$28+$G$32+$G$36+$G$40)," ")</f>
        <v xml:space="preserve"> </v>
      </c>
      <c r="I28" s="7"/>
      <c r="J28" s="7"/>
      <c r="K28" s="7"/>
      <c r="L28" s="7"/>
    </row>
    <row r="29" spans="1:12" ht="18.75" thickTop="1" thickBot="1" x14ac:dyDescent="0.35">
      <c r="A29" s="46">
        <v>4.5</v>
      </c>
      <c r="C29" s="129" t="s">
        <v>94</v>
      </c>
      <c r="D29" s="130" t="s">
        <v>3</v>
      </c>
      <c r="E29" s="135">
        <f>COUNTIFS('Falls Data Entry'!$H$6:$H$423,"&lt;&gt;"&amp;" ",'Falls Data Entry'!$Q$6:$Q$423,"="&amp;"Joint dislocation",'Falls Data Entry'!$H$6:$H$423,"&gt;="&amp;DATE(YEAR('Falls Injury Summary'!$E$7),MONTH('Falls Injury Summary'!$E$7),1),'Falls Data Entry'!$H$6:$H$423,"&lt;="&amp;EOMONTH(DATE(YEAR('Falls Injury Summary'!$E$7),MONTH('Falls Injury Summary'!$E$7),1),0))</f>
        <v>0</v>
      </c>
      <c r="F29" s="136" t="str">
        <f>IFERROR(E29/($E$13+$E$17+$E$21+$E$25+$E$29+$E$33+$E$37)," ")</f>
        <v xml:space="preserve"> </v>
      </c>
      <c r="G29" s="137">
        <f>COUNTIFS('Falls Data Entry'!$H$6:$H$423,"&lt;&gt;"&amp;" ",'Falls Data Entry'!$Q$6:$Q$423,"="&amp;"Joint dislocation",'Falls Data Entry'!$H$6:$H$423,"&gt;="&amp;DATE(YEAR(VALUE('Falls Injury Summary'!$E$8)),1,1),'Falls Data Entry'!$H$6:$H$423,"&lt;="&amp;DATE(YEAR(VALUE('Falls Injury Summary'!$E$8)),12,31))</f>
        <v>0</v>
      </c>
      <c r="H29" s="138" t="str">
        <f>IFERROR(G29/($G$13+$G$17+$G$21+$G$25+$G$29+$G$33+$G$37)," ")</f>
        <v xml:space="preserve"> </v>
      </c>
      <c r="I29" s="7"/>
      <c r="J29" s="7"/>
      <c r="K29" s="7"/>
      <c r="L29" s="7"/>
    </row>
    <row r="30" spans="1:12" ht="18" thickTop="1" x14ac:dyDescent="0.3">
      <c r="A30" s="46">
        <v>4.7352941176470598</v>
      </c>
      <c r="C30" s="83"/>
      <c r="D30" s="84" t="str">
        <f>IF(ISNONTEXT('Falls Summary'!$E$5),"",'Falls Summary'!$E$5)</f>
        <v>Unit 1</v>
      </c>
      <c r="E30" s="16">
        <f>COUNTIFS('Falls Data Entry'!$H$6:$H$423,"&lt;&gt;"&amp;" ",'Falls Data Entry'!$Q$6:$Q$423,"="&amp;"Joint dislocation",'Falls Data Entry'!$H$6:$H$423,"&gt;="&amp;DATE(YEAR('Falls Injury Summary'!$E$7),MONTH('Falls Injury Summary'!$E$7),1),'Falls Data Entry'!$H$6:$H$423,"&lt;="&amp;EOMONTH(DATE(YEAR('Falls Injury Summary'!$E$7),MONTH('Falls Injury Summary'!$E$7),1),0),'Falls Data Entry'!$A$6:$A$423,D30)</f>
        <v>0</v>
      </c>
      <c r="F30" s="95" t="str">
        <f>IFERROR(E30/($E$14+$E$18+$E$22+$E$26+$E$30+$E$34+$E$38)," ")</f>
        <v xml:space="preserve"> </v>
      </c>
      <c r="G30" s="16">
        <f>COUNTIFS('Falls Data Entry'!$H$6:$H$423,"&lt;&gt;"&amp;" ",'Falls Data Entry'!$Q$6:$Q$423,"="&amp;"Joint dislocation",'Falls Data Entry'!$H$6:$H$423,"&gt;="&amp;DATE(YEAR(VALUE('Falls Injury Summary'!$E$8)),1,1),'Falls Data Entry'!$H$6:$H$423,"&lt;="&amp;DATE(YEAR(VALUE('Falls Injury Summary'!$E$8)),12,31),'Falls Data Entry'!$A$6:$A$423,D30)</f>
        <v>0</v>
      </c>
      <c r="H30" s="95" t="str">
        <f>IFERROR(G30/($G$14+$G$18+$G$22+$G$26+$G$30+$G$34+$G$38)," ")</f>
        <v xml:space="preserve"> </v>
      </c>
      <c r="I30" s="7"/>
      <c r="J30" s="7"/>
      <c r="K30" s="7"/>
      <c r="L30" s="7"/>
    </row>
    <row r="31" spans="1:12" ht="17.25" x14ac:dyDescent="0.3">
      <c r="A31" s="46">
        <v>4.9705882352941204</v>
      </c>
      <c r="C31" s="83"/>
      <c r="D31" s="84" t="str">
        <f>IF(ISNONTEXT('Falls Summary'!$F$5),"",'Falls Summary'!$F$5)</f>
        <v>Unit 2</v>
      </c>
      <c r="E31" s="22">
        <f>COUNTIFS('Falls Data Entry'!$H$6:$H$423,"&lt;&gt;"&amp;" ",'Falls Data Entry'!$Q$6:$Q$423,"="&amp;"Joint dislocation",'Falls Data Entry'!$H$6:$H$423,"&gt;="&amp;DATE(YEAR('Falls Injury Summary'!$E$7),MONTH('Falls Injury Summary'!$E$7),1),'Falls Data Entry'!$H$6:$H$423,"&lt;="&amp;EOMONTH(DATE(YEAR('Falls Injury Summary'!$E$7),MONTH('Falls Injury Summary'!$E$7),1),0),'Falls Data Entry'!$A$6:$A$423,D31)</f>
        <v>0</v>
      </c>
      <c r="F31" s="82" t="str">
        <f>IFERROR(E31/($E$15+$E$19+$E$23+$E$27+$E$31+$E$35+$E$39)," ")</f>
        <v xml:space="preserve"> </v>
      </c>
      <c r="G31" s="22">
        <f>COUNTIFS('Falls Data Entry'!$H$6:$H$423,"&lt;&gt;"&amp;" ",'Falls Data Entry'!$Q$6:$Q$423,"="&amp;"Joint dislocation",'Falls Data Entry'!$H$6:$H$423,"&gt;="&amp;DATE(YEAR(VALUE('Falls Injury Summary'!$E$8)),1,1),'Falls Data Entry'!$H$6:$H$423,"&lt;="&amp;DATE(YEAR(VALUE('Falls Injury Summary'!$E$8)),12,31),'Falls Data Entry'!$A$6:$A$423,D31)</f>
        <v>0</v>
      </c>
      <c r="H31" s="82" t="str">
        <f>IFERROR(G31/($G$15+$G$19+$G$23+$G$27+$G$31+$G$35+$G$39)," ")</f>
        <v xml:space="preserve"> </v>
      </c>
      <c r="I31" s="7"/>
      <c r="J31" s="7"/>
      <c r="K31" s="7"/>
      <c r="L31" s="7"/>
    </row>
    <row r="32" spans="1:12" ht="18" thickBot="1" x14ac:dyDescent="0.35">
      <c r="A32" s="46">
        <v>5.2058823529411802</v>
      </c>
      <c r="C32" s="94"/>
      <c r="D32" s="84" t="str">
        <f>IF(ISNONTEXT('Falls Summary'!$G$5),"",'Falls Summary'!$G$5)</f>
        <v>Unit 3</v>
      </c>
      <c r="E32" s="133">
        <f>COUNTIFS('Falls Data Entry'!$H$6:$H$423,"&lt;&gt;"&amp;" ",'Falls Data Entry'!$Q$6:$Q$423,"="&amp;"Joint dislocation",'Falls Data Entry'!$H$6:$H$423,"&gt;="&amp;DATE(YEAR('Falls Injury Summary'!$E$7),MONTH('Falls Injury Summary'!$E$7),1),'Falls Data Entry'!$H$6:$H$423,"&lt;="&amp;EOMONTH(DATE(YEAR('Falls Injury Summary'!$E$7),MONTH('Falls Injury Summary'!$E$7),1),0),'Falls Data Entry'!$A$6:$A$423,D32)</f>
        <v>0</v>
      </c>
      <c r="F32" s="134" t="str">
        <f>IFERROR(E32/($E$16+$E$20+$E$24+$E$28+$E$32+$E$36+$E$40)," ")</f>
        <v xml:space="preserve"> </v>
      </c>
      <c r="G32" s="133">
        <f>COUNTIFS('Falls Data Entry'!$H$6:$H$423,"&lt;&gt;"&amp;" ",'Falls Data Entry'!$Q$6:$Q$423,"="&amp;"Joint dislocation",'Falls Data Entry'!$H$6:$H$423,"&gt;="&amp;DATE(YEAR(VALUE('Falls Injury Summary'!$E$8)),1,1),'Falls Data Entry'!$H$6:$H$423,"&lt;="&amp;DATE(YEAR(VALUE('Falls Injury Summary'!$E$8)),12,31),'Falls Data Entry'!$A$6:$A$423,D32)</f>
        <v>0</v>
      </c>
      <c r="H32" s="134" t="str">
        <f>IFERROR(G32/($G$16+$G$20+$G$24+$G$28+$G$32+$G$36+$G$40)," ")</f>
        <v xml:space="preserve"> </v>
      </c>
      <c r="I32" s="7"/>
      <c r="J32" s="7"/>
      <c r="K32" s="7"/>
      <c r="L32" s="7"/>
    </row>
    <row r="33" spans="1:8" ht="18.75" thickTop="1" thickBot="1" x14ac:dyDescent="0.35">
      <c r="A33" s="46">
        <v>6</v>
      </c>
      <c r="C33" s="129" t="s">
        <v>95</v>
      </c>
      <c r="D33" s="130" t="s">
        <v>3</v>
      </c>
      <c r="E33" s="135">
        <f>COUNTIFS('Falls Data Entry'!$H$6:$H$423,"&lt;&gt;"&amp;" ",'Falls Data Entry'!$Q$6:$Q$423,"="&amp;"Closed head injury w/ Altered Consciousness",'Falls Data Entry'!$H$6:$H$423,"&gt;="&amp;DATE(YEAR('Falls Injury Summary'!$E$7),MONTH('Falls Injury Summary'!$E$7),1),'Falls Data Entry'!$H$6:$H$423,"&lt;="&amp;EOMONTH(DATE(YEAR('Falls Injury Summary'!$E$7),MONTH('Falls Injury Summary'!$E$7),1),0))</f>
        <v>0</v>
      </c>
      <c r="F33" s="136" t="str">
        <f>IFERROR(E33/($E$13+$E$17+$E$21+$E$25+$E$29+$E$33+$E$37)," ")</f>
        <v xml:space="preserve"> </v>
      </c>
      <c r="G33" s="137">
        <f>COUNTIFS('Falls Data Entry'!$H$6:$H$423,"&lt;&gt;"&amp;" ",'Falls Data Entry'!$Q$6:$Q$423,"="&amp;"Closed head injury w/ Altered Consciousness",'Falls Data Entry'!$H$6:$H$423,"&gt;="&amp;DATE(YEAR(VALUE('Falls Injury Summary'!$E$8)),1,1),'Falls Data Entry'!$H$6:$H$423,"&lt;="&amp;DATE(YEAR(VALUE('Falls Injury Summary'!$E$8)),12,31))</f>
        <v>0</v>
      </c>
      <c r="H33" s="138" t="str">
        <f>IFERROR(G33/($G$13+$G$17+$G$21+$G$25+$G$29+$G$33+$G$37)," ")</f>
        <v xml:space="preserve"> </v>
      </c>
    </row>
    <row r="34" spans="1:8" ht="18" thickTop="1" x14ac:dyDescent="0.3">
      <c r="A34" s="46">
        <v>5.6764705882352997</v>
      </c>
      <c r="B34" s="47" t="s">
        <v>90</v>
      </c>
      <c r="C34" s="87"/>
      <c r="D34" s="84" t="str">
        <f>IF(ISNONTEXT('Falls Summary'!$E$5),"",'Falls Summary'!$E$5)</f>
        <v>Unit 1</v>
      </c>
      <c r="E34" s="16">
        <f>COUNTIFS('Falls Data Entry'!$H$6:$H$423,"&lt;&gt;"&amp;" ",'Falls Data Entry'!$Q$6:$Q$423,"="&amp;"Closed head injury w/ Altered Consciousness",'Falls Data Entry'!$H$6:$H$423,"&gt;="&amp;DATE(YEAR('Falls Injury Summary'!$E$7),MONTH('Falls Injury Summary'!$E$7),1),'Falls Data Entry'!$H$6:$H$423,"&lt;="&amp;EOMONTH(DATE(YEAR('Falls Injury Summary'!$E$7),MONTH('Falls Injury Summary'!$E$7),1),0),'Falls Data Entry'!$A$6:$A$423,D34)</f>
        <v>0</v>
      </c>
      <c r="F34" s="95" t="str">
        <f>IFERROR(E34/($E$14+$E$18+$E$22+$E$26+$E$30+$E$34+$E$38)," ")</f>
        <v xml:space="preserve"> </v>
      </c>
      <c r="G34" s="16">
        <f>COUNTIFS('Falls Data Entry'!$H$6:$H$423,"&lt;&gt;"&amp;" ",'Falls Data Entry'!$Q$6:$Q$423,"="&amp;"Closed head injury w/ Altered Consciousness",'Falls Data Entry'!$H$6:$H$423,"&gt;="&amp;DATE(YEAR(VALUE('Falls Injury Summary'!$E$8)),1,1),'Falls Data Entry'!$H$6:$H$423,"&lt;="&amp;DATE(YEAR(VALUE('Falls Injury Summary'!$E$8)),12,31),'Falls Data Entry'!$A$6:$A$423,D34)</f>
        <v>0</v>
      </c>
      <c r="H34" s="95" t="str">
        <f>IFERROR(G34/($G$14+$G$18+$G$22+$G$26+$G$30+$G$34+$G$38)," ")</f>
        <v xml:space="preserve"> </v>
      </c>
    </row>
    <row r="35" spans="1:8" ht="17.25" x14ac:dyDescent="0.3">
      <c r="A35" s="46">
        <v>5.9117647058823497</v>
      </c>
      <c r="B35" s="47" t="s">
        <v>91</v>
      </c>
      <c r="C35" s="87"/>
      <c r="D35" s="84" t="str">
        <f>IF(ISNONTEXT('Falls Summary'!$F$5),"",'Falls Summary'!$F$5)</f>
        <v>Unit 2</v>
      </c>
      <c r="E35" s="22">
        <f>COUNTIFS('Falls Data Entry'!$H$6:$H$423,"&lt;&gt;"&amp;" ",'Falls Data Entry'!$Q$6:$Q$423,"="&amp;"Closed head injury w/ Altered Consciousness",'Falls Data Entry'!$H$6:$H$423,"&gt;="&amp;DATE(YEAR('Falls Injury Summary'!$E$7),MONTH('Falls Injury Summary'!$E$7),1),'Falls Data Entry'!$H$6:$H$423,"&lt;="&amp;EOMONTH(DATE(YEAR('Falls Injury Summary'!$E$7),MONTH('Falls Injury Summary'!$E$7),1),0),'Falls Data Entry'!$A$6:$A$423,D35)</f>
        <v>0</v>
      </c>
      <c r="F35" s="82" t="str">
        <f>IFERROR(E35/($E$15+$E$19+$E$23+$E$27+$E$31+$E$35+$E$39)," ")</f>
        <v xml:space="preserve"> </v>
      </c>
      <c r="G35" s="22">
        <f>COUNTIFS('Falls Data Entry'!$H$6:$H$423,"&lt;&gt;"&amp;" ",'Falls Data Entry'!$Q$6:$Q$423,"="&amp;"Closed head injury w/ Altered Consciousness",'Falls Data Entry'!$H$6:$H$423,"&gt;="&amp;DATE(YEAR(VALUE('Falls Injury Summary'!$E$8)),1,1),'Falls Data Entry'!$H$6:$H$423,"&lt;="&amp;DATE(YEAR(VALUE('Falls Injury Summary'!$E$8)),12,31),'Falls Data Entry'!$A$6:$A$423,D35)</f>
        <v>0</v>
      </c>
      <c r="H35" s="82" t="str">
        <f>IFERROR(G35/($G$15+$G$19+$G$23+$G$27+$G$31+$G$35+$G$39)," ")</f>
        <v xml:space="preserve"> </v>
      </c>
    </row>
    <row r="36" spans="1:8" ht="18" thickBot="1" x14ac:dyDescent="0.35">
      <c r="A36" s="46">
        <v>6.1470588235294104</v>
      </c>
      <c r="B36" s="47" t="s">
        <v>92</v>
      </c>
      <c r="C36" s="87"/>
      <c r="D36" s="84" t="str">
        <f>IF(ISNONTEXT('Falls Summary'!$G$5),"",'Falls Summary'!$G$5)</f>
        <v>Unit 3</v>
      </c>
      <c r="E36" s="133">
        <f>COUNTIFS('Falls Data Entry'!$H$6:$H$423,"&lt;&gt;"&amp;" ",'Falls Data Entry'!$Q$6:$Q$423,"="&amp;"Closed head injury w/ Altered Consciousness",'Falls Data Entry'!$H$6:$H$423,"&gt;="&amp;DATE(YEAR('Falls Injury Summary'!$E$7),MONTH('Falls Injury Summary'!$E$7),1),'Falls Data Entry'!$H$6:$H$423,"&lt;="&amp;EOMONTH(DATE(YEAR('Falls Injury Summary'!$E$7),MONTH('Falls Injury Summary'!$E$7),1),0),'Falls Data Entry'!$A$6:$A$423,D36)</f>
        <v>0</v>
      </c>
      <c r="F36" s="134" t="str">
        <f>IFERROR(E36/($E$16+$E$20+$E$24+$E$28+$E$32+$E$36+$E$40)," ")</f>
        <v xml:space="preserve"> </v>
      </c>
      <c r="G36" s="133">
        <f>COUNTIFS('Falls Data Entry'!$H$6:$H$423,"&lt;&gt;"&amp;" ",'Falls Data Entry'!$Q$6:$Q$423,"="&amp;"Closed head injury w/ Altered Consciousness",'Falls Data Entry'!$H$6:$H$423,"&gt;="&amp;DATE(YEAR(VALUE('Falls Injury Summary'!$E$8)),1,1),'Falls Data Entry'!$H$6:$H$423,"&lt;="&amp;DATE(YEAR(VALUE('Falls Injury Summary'!$E$8)),12,31),'Falls Data Entry'!$A$6:$A$423,D36)</f>
        <v>0</v>
      </c>
      <c r="H36" s="134" t="str">
        <f>IFERROR(G36/($G$16+$G$20+$G$24+$G$28+$G$32+$G$36+$G$40)," ")</f>
        <v xml:space="preserve"> </v>
      </c>
    </row>
    <row r="37" spans="1:8" ht="18.75" thickTop="1" thickBot="1" x14ac:dyDescent="0.35">
      <c r="A37" s="46">
        <v>7</v>
      </c>
      <c r="B37" s="47" t="s">
        <v>93</v>
      </c>
      <c r="C37" s="129" t="s">
        <v>96</v>
      </c>
      <c r="D37" s="130" t="s">
        <v>3</v>
      </c>
      <c r="E37" s="135">
        <f>COUNTIFS('Falls Data Entry'!$H$6:$H$423,"&lt;&gt;"&amp;" ",'Falls Data Entry'!$Q$6:$Q$423,"="&amp;"Subdural hematoma",'Falls Data Entry'!$H$6:$H$423,"&gt;="&amp;DATE(YEAR('Falls Injury Summary'!$E$7),MONTH('Falls Injury Summary'!$E$7),1),'Falls Data Entry'!$H$6:$H$423,"&lt;="&amp;EOMONTH(DATE(YEAR('Falls Injury Summary'!$E$7),MONTH('Falls Injury Summary'!$E$7),1),0))</f>
        <v>0</v>
      </c>
      <c r="F37" s="136" t="str">
        <f>IFERROR(E37/($E$13+$E$17+$E$21+$E$25+$E$29+$E$33+$E$37)," ")</f>
        <v xml:space="preserve"> </v>
      </c>
      <c r="G37" s="137">
        <f>COUNTIFS('Falls Data Entry'!$H$6:$H$423,"&lt;&gt;"&amp;" ",'Falls Data Entry'!$Q$6:$Q$423,"="&amp;"Subdural hematoma",'Falls Data Entry'!$H$6:$H$423,"&gt;="&amp;DATE(YEAR(VALUE('Falls Injury Summary'!$E$8)),1,1),'Falls Data Entry'!$H$6:$H$423,"&lt;="&amp;DATE(YEAR(VALUE('Falls Injury Summary'!$E$8)),12,31))</f>
        <v>0</v>
      </c>
      <c r="H37" s="138" t="str">
        <f>IFERROR(G37/($G$13+$G$17+$G$21+$G$25+$G$29+$G$33+$G$37)," ")</f>
        <v xml:space="preserve"> </v>
      </c>
    </row>
    <row r="38" spans="1:8" ht="18" thickTop="1" x14ac:dyDescent="0.3">
      <c r="A38" s="46">
        <v>6.6176470588235299</v>
      </c>
      <c r="B38" s="47" t="s">
        <v>94</v>
      </c>
      <c r="C38" s="83"/>
      <c r="D38" s="84" t="str">
        <f>IF(ISNONTEXT('Falls Summary'!$E$5),"",'Falls Summary'!$E$5)</f>
        <v>Unit 1</v>
      </c>
      <c r="E38" s="16">
        <f>COUNTIFS('Falls Data Entry'!$H$6:$H$423,"&lt;&gt;"&amp;" ",'Falls Data Entry'!$Q$6:$Q$423,"="&amp;"Subdural hematoma",'Falls Data Entry'!$H$6:$H$423,"&gt;="&amp;DATE(YEAR('Falls Injury Summary'!$E$7),MONTH('Falls Injury Summary'!$E$7),1),'Falls Data Entry'!$H$6:$H$423,"&lt;="&amp;EOMONTH(DATE(YEAR('Falls Injury Summary'!$E$7),MONTH('Falls Injury Summary'!$E$7),1),0),'Falls Data Entry'!$A$6:$A$423,D38)</f>
        <v>0</v>
      </c>
      <c r="F38" s="95" t="str">
        <f>IFERROR(E38/($E$14+$E$18+$E$22+$E$26+$E$30+$E$34+$E$38)," ")</f>
        <v xml:space="preserve"> </v>
      </c>
      <c r="G38" s="16">
        <f>COUNTIFS('Falls Data Entry'!$H$6:$H$423,"&lt;&gt;"&amp;" ",'Falls Data Entry'!$Q$6:$Q$423,"="&amp;"Subdural hematoma",'Falls Data Entry'!$H$6:$H$423,"&gt;="&amp;DATE(YEAR(VALUE('Falls Injury Summary'!$E$8)),1,1),'Falls Data Entry'!$H$6:$H$423,"&lt;="&amp;DATE(YEAR(VALUE('Falls Injury Summary'!$E$8)),12,31),'Falls Data Entry'!$A$6:$A$423,D38)</f>
        <v>0</v>
      </c>
      <c r="H38" s="95" t="str">
        <f>IFERROR(G38/($G$14+$G$18+$G$22+$G$26+$G$30+$G$34+$G$38)," ")</f>
        <v xml:space="preserve"> </v>
      </c>
    </row>
    <row r="39" spans="1:8" ht="17.25" x14ac:dyDescent="0.3">
      <c r="A39" s="46">
        <v>6.8529411764705896</v>
      </c>
      <c r="B39" s="47" t="s">
        <v>95</v>
      </c>
      <c r="C39" s="83"/>
      <c r="D39" s="84" t="str">
        <f>IF(ISNONTEXT('Falls Summary'!$F$5),"",'Falls Summary'!$F$5)</f>
        <v>Unit 2</v>
      </c>
      <c r="E39" s="22">
        <f>COUNTIFS('Falls Data Entry'!$H$6:$H$423,"&lt;&gt;"&amp;" ",'Falls Data Entry'!$Q$6:$Q$423,"="&amp;"Subdural hematoma",'Falls Data Entry'!$H$6:$H$423,"&gt;="&amp;DATE(YEAR('Falls Injury Summary'!$E$7),MONTH('Falls Injury Summary'!$E$7),1),'Falls Data Entry'!$H$6:$H$423,"&lt;="&amp;EOMONTH(DATE(YEAR('Falls Injury Summary'!$E$7),MONTH('Falls Injury Summary'!$E$7),1),0),'Falls Data Entry'!$A$6:$A$423,D39)</f>
        <v>0</v>
      </c>
      <c r="F39" s="82" t="str">
        <f>IFERROR(E39/($E$15+$E$19+$E$23+$E$27+$E$31+$E$35+$E$39)," ")</f>
        <v xml:space="preserve"> </v>
      </c>
      <c r="G39" s="22">
        <f>COUNTIFS('Falls Data Entry'!$H$6:$H$423,"&lt;&gt;"&amp;" ",'Falls Data Entry'!$Q$6:$Q$423,"="&amp;"Subdural hematoma",'Falls Data Entry'!$H$6:$H$423,"&gt;="&amp;DATE(YEAR(VALUE('Falls Injury Summary'!$E$8)),1,1),'Falls Data Entry'!$H$6:$H$423,"&lt;="&amp;DATE(YEAR(VALUE('Falls Injury Summary'!$E$8)),12,31),'Falls Data Entry'!$A$6:$A$423,D39)</f>
        <v>0</v>
      </c>
      <c r="H39" s="82" t="str">
        <f>IFERROR(G39/($G$15+$G$19+$G$23+$G$27+$G$31+$G$35+$G$39)," ")</f>
        <v xml:space="preserve"> </v>
      </c>
    </row>
    <row r="40" spans="1:8" ht="17.25" x14ac:dyDescent="0.3">
      <c r="A40" s="46">
        <v>7.0882352941176503</v>
      </c>
      <c r="B40" s="47" t="s">
        <v>96</v>
      </c>
      <c r="C40" s="94"/>
      <c r="D40" s="84" t="str">
        <f>IF(ISNONTEXT('Falls Summary'!$G$5),"",'Falls Summary'!$G$5)</f>
        <v>Unit 3</v>
      </c>
      <c r="E40" s="22">
        <f>COUNTIFS('Falls Data Entry'!$H$6:$H$423,"&lt;&gt;"&amp;" ",'Falls Data Entry'!$Q$6:$Q$423,"="&amp;"Subdural hematoma",'Falls Data Entry'!$H$6:$H$423,"&gt;="&amp;DATE(YEAR('Falls Injury Summary'!$E$7),MONTH('Falls Injury Summary'!$E$7),1),'Falls Data Entry'!$H$6:$H$423,"&lt;="&amp;EOMONTH(DATE(YEAR('Falls Injury Summary'!$E$7),MONTH('Falls Injury Summary'!$E$7),1),0),'Falls Data Entry'!$A$6:$A$423,D40)</f>
        <v>0</v>
      </c>
      <c r="F40" s="82" t="str">
        <f>IFERROR(E40/($E$16+$E$20+$E$24+$E$28+$E$32+$E$36+$E$40)," ")</f>
        <v xml:space="preserve"> </v>
      </c>
      <c r="G40" s="22">
        <f>COUNTIFS('Falls Data Entry'!$H$6:$H$423,"&lt;&gt;"&amp;" ",'Falls Data Entry'!$Q$6:$Q$423,"="&amp;"Subdural hematoma",'Falls Data Entry'!$H$6:$H$423,"&gt;="&amp;DATE(YEAR(VALUE('Falls Injury Summary'!$E$8)),1,1),'Falls Data Entry'!$H$6:$H$423,"&lt;="&amp;DATE(YEAR(VALUE('Falls Injury Summary'!$E$8)),12,31),'Falls Data Entry'!$A$6:$A$423,D40)</f>
        <v>0</v>
      </c>
      <c r="H40" s="82" t="str">
        <f>IFERROR(G40/($G$16+$G$20+$G$24+$G$28+$G$32+$G$36+$G$40)," ")</f>
        <v xml:space="preserve"> </v>
      </c>
    </row>
    <row r="44" spans="1:8" ht="20.25" x14ac:dyDescent="0.35">
      <c r="C44" s="76" t="s">
        <v>2913</v>
      </c>
      <c r="D44" s="44"/>
      <c r="E44" s="168">
        <f>'Falls Summary'!$E$7</f>
        <v>46174</v>
      </c>
      <c r="F44" s="168"/>
      <c r="G44" s="169" t="s">
        <v>11</v>
      </c>
      <c r="H44" s="169"/>
    </row>
    <row r="45" spans="1:8" ht="69.75" thickBot="1" x14ac:dyDescent="0.35">
      <c r="C45" s="61"/>
      <c r="D45" s="62"/>
      <c r="E45" s="107" t="s">
        <v>2914</v>
      </c>
      <c r="F45" s="107" t="s">
        <v>2915</v>
      </c>
      <c r="G45" s="107" t="s">
        <v>2914</v>
      </c>
      <c r="H45" s="107" t="s">
        <v>2915</v>
      </c>
    </row>
    <row r="46" spans="1:8" ht="18.75" thickTop="1" thickBot="1" x14ac:dyDescent="0.35">
      <c r="C46" s="129" t="s">
        <v>101</v>
      </c>
      <c r="D46" s="130" t="s">
        <v>3</v>
      </c>
      <c r="E46" s="135">
        <f>COUNTIFS('Falls Data Entry'!$H$6:$H$423,"&lt;&gt;"&amp;" ",'Falls Data Entry'!$S$6:$S$423,"="&amp;"ER",'Falls Data Entry'!$H$6:$H$423,"&gt;="&amp;DATE(YEAR('Falls Injury Summary'!$E$7),MONTH('Falls Injury Summary'!$E$7),1),'Falls Data Entry'!$H$6:$H$423,"&lt;="&amp;EOMONTH(DATE(YEAR('Falls Injury Summary'!$E$7),MONTH('Falls Injury Summary'!$E$7),1),0))</f>
        <v>0</v>
      </c>
      <c r="F46" s="136" t="str">
        <f>IFERROR(E46/('Falls Summary'!$E$26)," ")</f>
        <v xml:space="preserve"> </v>
      </c>
      <c r="G46" s="137">
        <f>COUNTIFS('Falls Data Entry'!$H$6:$H$423,"&lt;&gt;"&amp;" ",'Falls Data Entry'!$S$6:$S$423,"="&amp;"ER",'Falls Data Entry'!$H$6:$H$423,"&gt;="&amp;DATE(YEAR(VALUE('Falls Injury Summary'!$E$8)),1,1),'Falls Data Entry'!$H$6:$H$423,"&lt;="&amp;DATE(YEAR(VALUE('Falls Injury Summary'!$E$8)),12,31))</f>
        <v>0</v>
      </c>
      <c r="H46" s="138" t="str">
        <f>IFERROR(G46/('Falls Summary'!$G$26)," ")</f>
        <v xml:space="preserve"> </v>
      </c>
    </row>
    <row r="47" spans="1:8" ht="18" thickTop="1" x14ac:dyDescent="0.3">
      <c r="C47" s="83"/>
      <c r="D47" s="84" t="str">
        <f>IF(ISNONTEXT('Falls Summary'!$E$5),"",'Falls Summary'!$E$5)</f>
        <v>Unit 1</v>
      </c>
      <c r="E47" s="16">
        <f>COUNTIFS('Falls Data Entry'!$H$6:$H$423,"&lt;&gt;"&amp;" ",'Falls Data Entry'!$S$6:$S$423,"="&amp;"ER",'Falls Data Entry'!$H$6:$H$423,"&gt;="&amp;DATE(YEAR('Falls Injury Summary'!$E$7),MONTH('Falls Injury Summary'!$E$7),1),'Falls Data Entry'!$H$6:$H$423,"&lt;="&amp;EOMONTH(DATE(YEAR('Falls Injury Summary'!$E$7),MONTH('Falls Injury Summary'!$E$7),1),0),'Falls Data Entry'!$A$6:$A$423,D47)</f>
        <v>0</v>
      </c>
      <c r="F47" s="95" t="str">
        <f>IFERROR(E47/('Falls Summary'!$E$27)," ")</f>
        <v xml:space="preserve"> </v>
      </c>
      <c r="G47" s="16">
        <f>COUNTIFS('Falls Data Entry'!$H$6:$H$423,"&lt;&gt;"&amp;" ",'Falls Data Entry'!$S$6:$S$423,"="&amp;"ER",'Falls Data Entry'!$H$6:$H$423,"&gt;="&amp;DATE(YEAR(VALUE('Falls Injury Summary'!$E$8)),1,1),'Falls Data Entry'!$H$6:$H$423,"&lt;="&amp;DATE(YEAR(VALUE('Falls Injury Summary'!$E$8)),12,31),'Falls Data Entry'!$A$6:$A$423,D47)</f>
        <v>0</v>
      </c>
      <c r="H47" s="95" t="str">
        <f>IFERROR(G47/('Falls Summary'!$G$27)," ")</f>
        <v xml:space="preserve"> </v>
      </c>
    </row>
    <row r="48" spans="1:8" ht="17.25" x14ac:dyDescent="0.3">
      <c r="C48" s="83"/>
      <c r="D48" s="84" t="str">
        <f>IF(ISNONTEXT('Falls Summary'!$F$5),"",'Falls Summary'!$F$5)</f>
        <v>Unit 2</v>
      </c>
      <c r="E48" s="22">
        <f>COUNTIFS('Falls Data Entry'!$H$6:$H$423,"&lt;&gt;"&amp;" ",'Falls Data Entry'!$S$6:$S$423,"="&amp;"ER",'Falls Data Entry'!$H$6:$H$423,"&gt;="&amp;DATE(YEAR('Falls Injury Summary'!$E$7),MONTH('Falls Injury Summary'!$E$7),1),'Falls Data Entry'!$H$6:$H$423,"&lt;="&amp;EOMONTH(DATE(YEAR('Falls Injury Summary'!$E$7),MONTH('Falls Injury Summary'!$E$7),1),0),'Falls Data Entry'!$A$6:$A$423,D48)</f>
        <v>0</v>
      </c>
      <c r="F48" s="82" t="str">
        <f>IFERROR(E48/('Falls Summary'!$E$28)," ")</f>
        <v xml:space="preserve"> </v>
      </c>
      <c r="G48" s="22">
        <f>COUNTIFS('Falls Data Entry'!$H$6:$H$423,"&lt;&gt;"&amp;" ",'Falls Data Entry'!$S$6:$S$423,"="&amp;"ER",'Falls Data Entry'!$H$6:$H$423,"&gt;="&amp;DATE(YEAR(VALUE('Falls Injury Summary'!$E$8)),1,1),'Falls Data Entry'!$H$6:$H$423,"&lt;="&amp;DATE(YEAR(VALUE('Falls Injury Summary'!$E$8)),12,31),'Falls Data Entry'!$A$6:$A$423,D48)</f>
        <v>0</v>
      </c>
      <c r="H48" s="82" t="str">
        <f>IFERROR(G48/('Falls Summary'!$G$28)," ")</f>
        <v xml:space="preserve"> </v>
      </c>
    </row>
    <row r="49" spans="3:8" ht="17.25" x14ac:dyDescent="0.3">
      <c r="C49" s="94"/>
      <c r="D49" s="84" t="str">
        <f>IF(ISNONTEXT('Falls Summary'!$G$5),"",'Falls Summary'!$G$5)</f>
        <v>Unit 3</v>
      </c>
      <c r="E49" s="22">
        <f>COUNTIFS('Falls Data Entry'!$H$6:$H$423,"&lt;&gt;"&amp;" ",'Falls Data Entry'!$S$6:$S$423,"="&amp;"ER",'Falls Data Entry'!$H$6:$H$423,"&gt;="&amp;DATE(YEAR('Falls Injury Summary'!$E$7),MONTH('Falls Injury Summary'!$E$7),1),'Falls Data Entry'!$H$6:$H$423,"&lt;="&amp;EOMONTH(DATE(YEAR('Falls Injury Summary'!$E$7),MONTH('Falls Injury Summary'!$E$7),1),0),'Falls Data Entry'!$A$6:$A$423,D49)</f>
        <v>0</v>
      </c>
      <c r="F49" s="82" t="str">
        <f>IFERROR(E49/('Falls Summary'!$E$29)," ")</f>
        <v xml:space="preserve"> </v>
      </c>
      <c r="G49" s="22">
        <f>COUNTIFS('Falls Data Entry'!$H$6:$H$423,"&lt;&gt;"&amp;" ",'Falls Data Entry'!$S$6:$S$423,"="&amp;"ER",'Falls Data Entry'!$H$6:$H$423,"&gt;="&amp;DATE(YEAR(VALUE('Falls Injury Summary'!$E$8)),1,1),'Falls Data Entry'!$H$6:$H$423,"&lt;="&amp;DATE(YEAR(VALUE('Falls Injury Summary'!$E$8)),12,31),'Falls Data Entry'!$A$6:$A$423,D49)</f>
        <v>0</v>
      </c>
      <c r="H49" s="82" t="str">
        <f>IFERROR(G49/('Falls Summary'!$G$29)," ")</f>
        <v xml:space="preserve"> </v>
      </c>
    </row>
  </sheetData>
  <mergeCells count="13">
    <mergeCell ref="E44:F44"/>
    <mergeCell ref="G44:H44"/>
    <mergeCell ref="U12:X12"/>
    <mergeCell ref="C2:O2"/>
    <mergeCell ref="R12:T12"/>
    <mergeCell ref="E11:F11"/>
    <mergeCell ref="G11:H11"/>
    <mergeCell ref="J12:K12"/>
    <mergeCell ref="L12:O12"/>
    <mergeCell ref="C8:D8"/>
    <mergeCell ref="C7:D7"/>
    <mergeCell ref="I6:I7"/>
    <mergeCell ref="C5:D5"/>
  </mergeCells>
  <dataValidations count="1">
    <dataValidation type="list" allowBlank="1" showInputMessage="1" showErrorMessage="1" sqref="L12:O12" xr:uid="{D30490F0-D6BC-4E77-A893-6E0FF91EFDA5}">
      <formula1>$B$34:$B$40</formula1>
    </dataValidation>
  </dataValidations>
  <pageMargins left="0.7" right="0.7" top="0.75" bottom="0.75" header="0.3" footer="0.3"/>
  <pageSetup scale="35" orientation="landscape" r:id="rId1"/>
  <rowBreaks count="1" manualBreakCount="1">
    <brk id="9" max="2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3962EAA-D5C9-4E81-94C0-8A77F81F14D5}">
          <x14:formula1>
            <xm:f>ref!$I$2:$I$6</xm:f>
          </x14:formula1>
          <xm:sqref>E8</xm:sqref>
        </x14:dataValidation>
        <x14:dataValidation type="list" allowBlank="1" showInputMessage="1" showErrorMessage="1" xr:uid="{FBF76F64-D72E-4C32-9507-7153D15AD44C}">
          <x14:formula1>
            <xm:f>ref!$H$2:$H$38</xm:f>
          </x14:formula1>
          <xm:sqref>E7</xm:sqref>
        </x14:dataValidation>
        <x14:dataValidation type="list" allowBlank="1" showInputMessage="1" showErrorMessage="1" xr:uid="{EBFCCE43-04E7-4DFA-97E2-33B0E387C607}">
          <x14:formula1>
            <xm:f>'Unit Designation'!$A$9:$A$29</xm:f>
          </x14:formula1>
          <xm:sqref>E5:G5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EEF04-C5D7-4E37-BE21-8B634EAA5FA0}">
  <dimension ref="B1:D51"/>
  <sheetViews>
    <sheetView showGridLines="0" workbookViewId="0">
      <pane ySplit="1" topLeftCell="A2" activePane="bottomLeft" state="frozen"/>
      <selection pane="bottomLeft" activeCell="H41" sqref="H41"/>
    </sheetView>
  </sheetViews>
  <sheetFormatPr defaultColWidth="8.85546875" defaultRowHeight="16.5" x14ac:dyDescent="0.3"/>
  <cols>
    <col min="1" max="1" width="8.85546875" style="33"/>
    <col min="2" max="2" width="28.42578125" style="33" customWidth="1"/>
    <col min="3" max="3" width="72" style="33" customWidth="1"/>
    <col min="4" max="4" width="75.42578125" style="33" customWidth="1"/>
    <col min="5" max="16384" width="8.85546875" style="33"/>
  </cols>
  <sheetData>
    <row r="1" spans="2:4" ht="17.25" thickBot="1" x14ac:dyDescent="0.35">
      <c r="B1" s="7"/>
      <c r="C1" s="7"/>
      <c r="D1" s="7"/>
    </row>
    <row r="2" spans="2:4" ht="39" customHeight="1" thickBot="1" x14ac:dyDescent="0.35">
      <c r="B2" s="208" t="s">
        <v>2916</v>
      </c>
      <c r="C2" s="209"/>
      <c r="D2" s="210"/>
    </row>
    <row r="3" spans="2:4" ht="34.9" customHeight="1" thickBot="1" x14ac:dyDescent="0.35">
      <c r="B3" s="143" t="s">
        <v>2917</v>
      </c>
      <c r="C3" s="142" t="s">
        <v>2918</v>
      </c>
      <c r="D3" s="142" t="s">
        <v>2919</v>
      </c>
    </row>
    <row r="4" spans="2:4" ht="33.75" thickBot="1" x14ac:dyDescent="0.35">
      <c r="B4" s="148" t="s">
        <v>2920</v>
      </c>
      <c r="C4" s="113" t="s">
        <v>2921</v>
      </c>
      <c r="D4" s="113" t="s">
        <v>2922</v>
      </c>
    </row>
    <row r="5" spans="2:4" ht="22.5" customHeight="1" x14ac:dyDescent="0.3">
      <c r="B5" s="206" t="s">
        <v>25</v>
      </c>
      <c r="C5" s="112" t="s">
        <v>2923</v>
      </c>
      <c r="D5" s="112" t="s">
        <v>2924</v>
      </c>
    </row>
    <row r="6" spans="2:4" ht="31.5" customHeight="1" x14ac:dyDescent="0.3">
      <c r="B6" s="207"/>
      <c r="C6" s="112" t="s">
        <v>2925</v>
      </c>
      <c r="D6" s="112" t="s">
        <v>2926</v>
      </c>
    </row>
    <row r="7" spans="2:4" ht="33" x14ac:dyDescent="0.3">
      <c r="B7" s="207"/>
      <c r="C7" s="112" t="s">
        <v>2927</v>
      </c>
      <c r="D7" s="112" t="s">
        <v>2928</v>
      </c>
    </row>
    <row r="8" spans="2:4" ht="33" x14ac:dyDescent="0.3">
      <c r="B8" s="207"/>
      <c r="C8" s="112" t="s">
        <v>2929</v>
      </c>
      <c r="D8" s="144" t="s">
        <v>2930</v>
      </c>
    </row>
    <row r="9" spans="2:4" x14ac:dyDescent="0.3">
      <c r="B9" s="207"/>
      <c r="C9" s="112" t="s">
        <v>2931</v>
      </c>
      <c r="D9" s="144"/>
    </row>
    <row r="10" spans="2:4" ht="33" x14ac:dyDescent="0.3">
      <c r="B10" s="207"/>
      <c r="C10" s="112" t="s">
        <v>2932</v>
      </c>
      <c r="D10" s="144"/>
    </row>
    <row r="11" spans="2:4" x14ac:dyDescent="0.3">
      <c r="B11" s="207"/>
      <c r="C11" s="112" t="s">
        <v>2933</v>
      </c>
      <c r="D11" s="144"/>
    </row>
    <row r="12" spans="2:4" x14ac:dyDescent="0.3">
      <c r="B12" s="207"/>
      <c r="C12" s="112" t="s">
        <v>2934</v>
      </c>
      <c r="D12" s="144"/>
    </row>
    <row r="13" spans="2:4" ht="33" x14ac:dyDescent="0.3">
      <c r="B13" s="207"/>
      <c r="C13" s="112" t="s">
        <v>2935</v>
      </c>
      <c r="D13" s="144"/>
    </row>
    <row r="14" spans="2:4" x14ac:dyDescent="0.3">
      <c r="B14" s="207"/>
      <c r="C14" s="112" t="s">
        <v>2936</v>
      </c>
      <c r="D14" s="144"/>
    </row>
    <row r="15" spans="2:4" ht="33" x14ac:dyDescent="0.3">
      <c r="B15" s="207"/>
      <c r="C15" s="112" t="s">
        <v>2937</v>
      </c>
      <c r="D15" s="144"/>
    </row>
    <row r="16" spans="2:4" ht="17.25" thickBot="1" x14ac:dyDescent="0.35">
      <c r="B16" s="207"/>
      <c r="C16" s="145" t="s">
        <v>2938</v>
      </c>
      <c r="D16" s="146"/>
    </row>
    <row r="17" spans="2:4" ht="49.5" x14ac:dyDescent="0.3">
      <c r="B17" s="206" t="s">
        <v>24</v>
      </c>
      <c r="C17" s="112" t="s">
        <v>2939</v>
      </c>
      <c r="D17" s="112" t="s">
        <v>2940</v>
      </c>
    </row>
    <row r="18" spans="2:4" x14ac:dyDescent="0.3">
      <c r="B18" s="207"/>
      <c r="C18" s="112" t="s">
        <v>2941</v>
      </c>
      <c r="D18" s="112" t="s">
        <v>2942</v>
      </c>
    </row>
    <row r="19" spans="2:4" ht="33" x14ac:dyDescent="0.3">
      <c r="B19" s="207"/>
      <c r="C19" s="112" t="s">
        <v>2943</v>
      </c>
      <c r="D19" s="112" t="s">
        <v>2944</v>
      </c>
    </row>
    <row r="20" spans="2:4" ht="33" x14ac:dyDescent="0.3">
      <c r="B20" s="207"/>
      <c r="C20" s="147" t="s">
        <v>2945</v>
      </c>
      <c r="D20" s="112" t="s">
        <v>2946</v>
      </c>
    </row>
    <row r="21" spans="2:4" ht="50.25" thickBot="1" x14ac:dyDescent="0.35">
      <c r="B21" s="211"/>
      <c r="C21" s="113"/>
      <c r="D21" s="113" t="s">
        <v>2947</v>
      </c>
    </row>
    <row r="22" spans="2:4" ht="33" x14ac:dyDescent="0.3">
      <c r="B22" s="206" t="s">
        <v>26</v>
      </c>
      <c r="C22" s="112" t="s">
        <v>2948</v>
      </c>
      <c r="D22" s="112" t="s">
        <v>2949</v>
      </c>
    </row>
    <row r="23" spans="2:4" ht="33" x14ac:dyDescent="0.3">
      <c r="B23" s="207"/>
      <c r="C23" s="112" t="s">
        <v>2950</v>
      </c>
      <c r="D23" s="112" t="s">
        <v>2951</v>
      </c>
    </row>
    <row r="24" spans="2:4" x14ac:dyDescent="0.3">
      <c r="B24" s="207"/>
      <c r="C24" s="112" t="s">
        <v>2952</v>
      </c>
      <c r="D24" s="112" t="s">
        <v>2953</v>
      </c>
    </row>
    <row r="25" spans="2:4" ht="21" customHeight="1" x14ac:dyDescent="0.3">
      <c r="B25" s="207"/>
      <c r="C25" s="112" t="s">
        <v>2954</v>
      </c>
      <c r="D25" s="112" t="s">
        <v>2955</v>
      </c>
    </row>
    <row r="26" spans="2:4" x14ac:dyDescent="0.3">
      <c r="B26" s="207"/>
      <c r="C26" s="112" t="s">
        <v>2956</v>
      </c>
      <c r="D26" s="112" t="s">
        <v>2957</v>
      </c>
    </row>
    <row r="27" spans="2:4" x14ac:dyDescent="0.3">
      <c r="B27" s="207"/>
      <c r="C27" s="112" t="s">
        <v>2958</v>
      </c>
      <c r="D27" s="112" t="s">
        <v>2959</v>
      </c>
    </row>
    <row r="28" spans="2:4" x14ac:dyDescent="0.3">
      <c r="B28" s="207"/>
      <c r="C28" s="112" t="s">
        <v>2960</v>
      </c>
      <c r="D28" s="112"/>
    </row>
    <row r="29" spans="2:4" ht="50.25" thickBot="1" x14ac:dyDescent="0.35">
      <c r="B29" s="207"/>
      <c r="C29" s="112" t="s">
        <v>2961</v>
      </c>
      <c r="D29" s="112"/>
    </row>
    <row r="30" spans="2:4" x14ac:dyDescent="0.3">
      <c r="B30" s="206" t="s">
        <v>27</v>
      </c>
      <c r="C30" s="114" t="s">
        <v>2962</v>
      </c>
      <c r="D30" s="114" t="s">
        <v>2963</v>
      </c>
    </row>
    <row r="31" spans="2:4" ht="33" x14ac:dyDescent="0.3">
      <c r="B31" s="207"/>
      <c r="C31" s="112" t="s">
        <v>2964</v>
      </c>
      <c r="D31" s="112" t="s">
        <v>2965</v>
      </c>
    </row>
    <row r="32" spans="2:4" ht="21" customHeight="1" x14ac:dyDescent="0.3">
      <c r="B32" s="207"/>
      <c r="C32" s="112" t="s">
        <v>2966</v>
      </c>
      <c r="D32" s="112" t="s">
        <v>2967</v>
      </c>
    </row>
    <row r="33" spans="2:4" ht="17.25" thickBot="1" x14ac:dyDescent="0.35">
      <c r="B33" s="211"/>
      <c r="C33" s="113" t="s">
        <v>2968</v>
      </c>
      <c r="D33" s="113"/>
    </row>
    <row r="34" spans="2:4" ht="33.75" thickBot="1" x14ac:dyDescent="0.35">
      <c r="B34" s="148" t="s">
        <v>28</v>
      </c>
      <c r="C34" s="113" t="s">
        <v>2969</v>
      </c>
      <c r="D34" s="113" t="s">
        <v>2970</v>
      </c>
    </row>
    <row r="35" spans="2:4" ht="33" customHeight="1" x14ac:dyDescent="0.3">
      <c r="B35" s="206" t="s">
        <v>2971</v>
      </c>
      <c r="C35" s="112" t="s">
        <v>2972</v>
      </c>
      <c r="D35" s="111" t="s">
        <v>2973</v>
      </c>
    </row>
    <row r="36" spans="2:4" ht="19.5" customHeight="1" x14ac:dyDescent="0.3">
      <c r="B36" s="207"/>
      <c r="C36" s="112" t="s">
        <v>2974</v>
      </c>
      <c r="D36" s="112" t="s">
        <v>2975</v>
      </c>
    </row>
    <row r="37" spans="2:4" ht="19.5" customHeight="1" x14ac:dyDescent="0.3">
      <c r="B37" s="207"/>
      <c r="C37" s="112" t="s">
        <v>2976</v>
      </c>
      <c r="D37" s="112" t="s">
        <v>2977</v>
      </c>
    </row>
    <row r="38" spans="2:4" ht="32.25" customHeight="1" x14ac:dyDescent="0.3">
      <c r="B38" s="207"/>
      <c r="C38" s="112" t="s">
        <v>2978</v>
      </c>
      <c r="D38" s="112" t="s">
        <v>2979</v>
      </c>
    </row>
    <row r="39" spans="2:4" x14ac:dyDescent="0.3">
      <c r="B39" s="207"/>
      <c r="C39" s="112"/>
      <c r="D39" s="112" t="s">
        <v>2980</v>
      </c>
    </row>
    <row r="40" spans="2:4" x14ac:dyDescent="0.3">
      <c r="B40" s="207"/>
      <c r="C40" s="112"/>
      <c r="D40" s="112" t="s">
        <v>2981</v>
      </c>
    </row>
    <row r="41" spans="2:4" x14ac:dyDescent="0.3">
      <c r="B41" s="207"/>
      <c r="C41" s="112"/>
      <c r="D41" s="112" t="s">
        <v>2982</v>
      </c>
    </row>
    <row r="42" spans="2:4" x14ac:dyDescent="0.3">
      <c r="B42" s="207"/>
      <c r="C42" s="112"/>
      <c r="D42" s="112" t="s">
        <v>2983</v>
      </c>
    </row>
    <row r="43" spans="2:4" x14ac:dyDescent="0.3">
      <c r="B43" s="207"/>
      <c r="C43" s="112"/>
      <c r="D43" s="112" t="s">
        <v>2984</v>
      </c>
    </row>
    <row r="44" spans="2:4" x14ac:dyDescent="0.3">
      <c r="B44" s="207"/>
      <c r="C44" s="112"/>
      <c r="D44" s="112" t="s">
        <v>2985</v>
      </c>
    </row>
    <row r="45" spans="2:4" x14ac:dyDescent="0.3">
      <c r="B45" s="207"/>
      <c r="C45" s="112"/>
      <c r="D45" s="112" t="s">
        <v>2986</v>
      </c>
    </row>
    <row r="46" spans="2:4" x14ac:dyDescent="0.3">
      <c r="B46" s="207"/>
      <c r="C46" s="112"/>
      <c r="D46" s="112" t="s">
        <v>2987</v>
      </c>
    </row>
    <row r="47" spans="2:4" x14ac:dyDescent="0.3">
      <c r="B47" s="207"/>
      <c r="C47" s="112"/>
      <c r="D47" s="112" t="s">
        <v>2988</v>
      </c>
    </row>
    <row r="48" spans="2:4" x14ac:dyDescent="0.3">
      <c r="B48" s="207"/>
      <c r="C48" s="112"/>
      <c r="D48" s="112" t="s">
        <v>2989</v>
      </c>
    </row>
    <row r="49" spans="2:4" ht="17.25" thickBot="1" x14ac:dyDescent="0.35">
      <c r="B49" s="207"/>
      <c r="C49" s="112"/>
      <c r="D49" s="113" t="s">
        <v>2990</v>
      </c>
    </row>
    <row r="50" spans="2:4" ht="22.5" customHeight="1" x14ac:dyDescent="0.3">
      <c r="B50" s="200" t="s">
        <v>2991</v>
      </c>
      <c r="C50" s="201"/>
      <c r="D50" s="202"/>
    </row>
    <row r="51" spans="2:4" ht="9.75" customHeight="1" thickBot="1" x14ac:dyDescent="0.35">
      <c r="B51" s="203"/>
      <c r="C51" s="204"/>
      <c r="D51" s="205"/>
    </row>
  </sheetData>
  <mergeCells count="7">
    <mergeCell ref="B50:D51"/>
    <mergeCell ref="B35:B49"/>
    <mergeCell ref="B2:D2"/>
    <mergeCell ref="B5:B16"/>
    <mergeCell ref="B17:B21"/>
    <mergeCell ref="B22:B29"/>
    <mergeCell ref="B30:B3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B95EE-9191-4F33-A610-0181B799D4FA}">
  <dimension ref="B1:H23"/>
  <sheetViews>
    <sheetView workbookViewId="0">
      <selection activeCell="E33" sqref="E33"/>
    </sheetView>
  </sheetViews>
  <sheetFormatPr defaultRowHeight="15" x14ac:dyDescent="0.25"/>
  <cols>
    <col min="2" max="2" width="15.28515625" customWidth="1"/>
    <col min="6" max="6" width="19.28515625" customWidth="1"/>
  </cols>
  <sheetData>
    <row r="1" spans="2:8" x14ac:dyDescent="0.25">
      <c r="B1" t="s">
        <v>103</v>
      </c>
      <c r="F1" t="s">
        <v>104</v>
      </c>
    </row>
    <row r="2" spans="2:8" x14ac:dyDescent="0.25">
      <c r="B2" t="s">
        <v>105</v>
      </c>
      <c r="C2" t="s">
        <v>106</v>
      </c>
      <c r="D2" t="s">
        <v>107</v>
      </c>
      <c r="F2" t="s">
        <v>105</v>
      </c>
      <c r="G2" t="s">
        <v>106</v>
      </c>
      <c r="H2" t="s">
        <v>108</v>
      </c>
    </row>
    <row r="3" spans="2:8" ht="16.5" x14ac:dyDescent="0.3">
      <c r="B3" t="str" cm="1">
        <f t="array" ref="B3:B5">_xlfn._xlws.FILTER('Unit Designation'!$A$9:$A$29,'Unit Designation'!$A$9:$A$29&lt;&gt;"")</f>
        <v>Unit 1</v>
      </c>
      <c r="C3" s="7">
        <f>COUNTIFS('Falls Data Entry'!$H$6:$H$423,"&lt;&gt;"&amp;" ",'Falls Data Entry'!$H$6:$H$423,"&gt;="&amp;DATE(YEAR('Falls Summary'!$E$7),MONTH('Falls Summary'!$E$7),1),'Falls Data Entry'!$H$6:$H$423,"&lt;="&amp;EOMONTH(DATE(YEAR('Falls Summary'!$E$7),MONTH('Falls Summary'!$E$7),1),0),'Falls Data Entry'!$A$6:$A$423,B3)</f>
        <v>0</v>
      </c>
      <c r="D3">
        <f t="shared" ref="D3:D22" si="0">RANK(C3,$C$3:$C$22,0)</f>
        <v>1</v>
      </c>
      <c r="F3" t="str" cm="1">
        <f t="array" ref="F3:H5">_xlfn.SORTBY(_xlfn._xlws.FILTER(B3:D22,(B3:B22&lt;&gt;"")*(D3:D22&lt;4)),_xlfn._xlws.FILTER(D3:D22,(B3:B22&lt;&gt;"")*(D3:D22&lt;4)),1)</f>
        <v>Unit 1</v>
      </c>
      <c r="G3">
        <v>0</v>
      </c>
      <c r="H3">
        <v>1</v>
      </c>
    </row>
    <row r="4" spans="2:8" ht="16.5" x14ac:dyDescent="0.3">
      <c r="B4" t="str">
        <v>Unit 2</v>
      </c>
      <c r="C4" s="7">
        <f>COUNTIFS('Falls Data Entry'!$H$6:$H$423,"&lt;&gt;"&amp;" ",'Falls Data Entry'!$H$6:$H$423,"&gt;="&amp;DATE(YEAR('Falls Summary'!$E$7),MONTH('Falls Summary'!$E$7),1),'Falls Data Entry'!$H$6:$H$423,"&lt;="&amp;EOMONTH(DATE(YEAR('Falls Summary'!$E$7),MONTH('Falls Summary'!$E$7),1),0),'Falls Data Entry'!$A$6:$A$423,B4)</f>
        <v>0</v>
      </c>
      <c r="D4">
        <f t="shared" si="0"/>
        <v>1</v>
      </c>
      <c r="F4" t="str">
        <v>Unit 2</v>
      </c>
      <c r="G4">
        <v>0</v>
      </c>
      <c r="H4">
        <v>1</v>
      </c>
    </row>
    <row r="5" spans="2:8" ht="16.5" x14ac:dyDescent="0.3">
      <c r="B5" t="str">
        <v>Unit 3</v>
      </c>
      <c r="C5" s="7">
        <f>COUNTIFS('Falls Data Entry'!$H$6:$H$423,"&lt;&gt;"&amp;" ",'Falls Data Entry'!$H$6:$H$423,"&gt;="&amp;DATE(YEAR('Falls Summary'!$E$7),MONTH('Falls Summary'!$E$7),1),'Falls Data Entry'!$H$6:$H$423,"&lt;="&amp;EOMONTH(DATE(YEAR('Falls Summary'!$E$7),MONTH('Falls Summary'!$E$7),1),0),'Falls Data Entry'!$A$6:$A$423,B5)</f>
        <v>0</v>
      </c>
      <c r="D5">
        <f t="shared" si="0"/>
        <v>1</v>
      </c>
      <c r="F5" t="str">
        <v>Unit 3</v>
      </c>
      <c r="G5">
        <v>0</v>
      </c>
      <c r="H5">
        <v>1</v>
      </c>
    </row>
    <row r="6" spans="2:8" ht="16.5" x14ac:dyDescent="0.3">
      <c r="C6" s="7">
        <f>COUNTIFS('Falls Data Entry'!$H$6:$H$423,"&lt;&gt;"&amp;" ",'Falls Data Entry'!$H$6:$H$423,"&gt;="&amp;DATE(YEAR('Falls Summary'!$E$7),MONTH('Falls Summary'!$E$7),1),'Falls Data Entry'!$H$6:$H$423,"&lt;="&amp;EOMONTH(DATE(YEAR('Falls Summary'!$E$7),MONTH('Falls Summary'!$E$7),1),0),'Falls Data Entry'!$A$6:$A$423,B6)</f>
        <v>0</v>
      </c>
      <c r="D6">
        <f t="shared" si="0"/>
        <v>1</v>
      </c>
    </row>
    <row r="7" spans="2:8" ht="16.5" x14ac:dyDescent="0.3">
      <c r="C7" s="7">
        <f>COUNTIFS('Falls Data Entry'!$H$6:$H$423,"&lt;&gt;"&amp;" ",'Falls Data Entry'!$H$6:$H$423,"&gt;="&amp;DATE(YEAR('Falls Summary'!$E$7),MONTH('Falls Summary'!$E$7),1),'Falls Data Entry'!$H$6:$H$423,"&lt;="&amp;EOMONTH(DATE(YEAR('Falls Summary'!$E$7),MONTH('Falls Summary'!$E$7),1),0),'Falls Data Entry'!$A$6:$A$423,B7)</f>
        <v>0</v>
      </c>
      <c r="D7">
        <f t="shared" si="0"/>
        <v>1</v>
      </c>
    </row>
    <row r="8" spans="2:8" ht="16.5" x14ac:dyDescent="0.3">
      <c r="C8" s="7">
        <f>COUNTIFS('Falls Data Entry'!$H$6:$H$423,"&lt;&gt;"&amp;" ",'Falls Data Entry'!$H$6:$H$423,"&gt;="&amp;DATE(YEAR('Falls Summary'!$E$7),MONTH('Falls Summary'!$E$7),1),'Falls Data Entry'!$H$6:$H$423,"&lt;="&amp;EOMONTH(DATE(YEAR('Falls Summary'!$E$7),MONTH('Falls Summary'!$E$7),1),0),'Falls Data Entry'!$A$6:$A$423,B8)</f>
        <v>0</v>
      </c>
      <c r="D8">
        <f t="shared" si="0"/>
        <v>1</v>
      </c>
    </row>
    <row r="9" spans="2:8" ht="16.5" x14ac:dyDescent="0.3">
      <c r="C9" s="7">
        <f>COUNTIFS('Falls Data Entry'!$H$6:$H$423,"&lt;&gt;"&amp;" ",'Falls Data Entry'!$H$6:$H$423,"&gt;="&amp;DATE(YEAR('Falls Summary'!$E$7),MONTH('Falls Summary'!$E$7),1),'Falls Data Entry'!$H$6:$H$423,"&lt;="&amp;EOMONTH(DATE(YEAR('Falls Summary'!$E$7),MONTH('Falls Summary'!$E$7),1),0),'Falls Data Entry'!$A$6:$A$423,B9)</f>
        <v>0</v>
      </c>
      <c r="D9">
        <f t="shared" si="0"/>
        <v>1</v>
      </c>
    </row>
    <row r="10" spans="2:8" ht="16.5" x14ac:dyDescent="0.3">
      <c r="C10" s="7">
        <f>COUNTIFS('Falls Data Entry'!$H$6:$H$423,"&lt;&gt;"&amp;" ",'Falls Data Entry'!$H$6:$H$423,"&gt;="&amp;DATE(YEAR('Falls Summary'!$E$7),MONTH('Falls Summary'!$E$7),1),'Falls Data Entry'!$H$6:$H$423,"&lt;="&amp;EOMONTH(DATE(YEAR('Falls Summary'!$E$7),MONTH('Falls Summary'!$E$7),1),0),'Falls Data Entry'!$A$6:$A$423,B10)</f>
        <v>0</v>
      </c>
      <c r="D10">
        <f t="shared" si="0"/>
        <v>1</v>
      </c>
    </row>
    <row r="11" spans="2:8" ht="16.5" x14ac:dyDescent="0.3">
      <c r="C11" s="7">
        <f>COUNTIFS('Falls Data Entry'!$H$6:$H$423,"&lt;&gt;"&amp;" ",'Falls Data Entry'!$H$6:$H$423,"&gt;="&amp;DATE(YEAR('Falls Summary'!$E$7),MONTH('Falls Summary'!$E$7),1),'Falls Data Entry'!$H$6:$H$423,"&lt;="&amp;EOMONTH(DATE(YEAR('Falls Summary'!$E$7),MONTH('Falls Summary'!$E$7),1),0),'Falls Data Entry'!$A$6:$A$423,B11)</f>
        <v>0</v>
      </c>
      <c r="D11">
        <f t="shared" si="0"/>
        <v>1</v>
      </c>
    </row>
    <row r="12" spans="2:8" ht="16.5" x14ac:dyDescent="0.3">
      <c r="C12" s="7">
        <f>COUNTIFS('Falls Data Entry'!$H$6:$H$423,"&lt;&gt;"&amp;" ",'Falls Data Entry'!$H$6:$H$423,"&gt;="&amp;DATE(YEAR('Falls Summary'!$E$7),MONTH('Falls Summary'!$E$7),1),'Falls Data Entry'!$H$6:$H$423,"&lt;="&amp;EOMONTH(DATE(YEAR('Falls Summary'!$E$7),MONTH('Falls Summary'!$E$7),1),0),'Falls Data Entry'!$A$6:$A$423,B12)</f>
        <v>0</v>
      </c>
      <c r="D12">
        <f t="shared" si="0"/>
        <v>1</v>
      </c>
    </row>
    <row r="13" spans="2:8" ht="16.5" x14ac:dyDescent="0.3">
      <c r="C13" s="7">
        <f>COUNTIFS('Falls Data Entry'!$H$6:$H$423,"&lt;&gt;"&amp;" ",'Falls Data Entry'!$H$6:$H$423,"&gt;="&amp;DATE(YEAR('Falls Summary'!$E$7),MONTH('Falls Summary'!$E$7),1),'Falls Data Entry'!$H$6:$H$423,"&lt;="&amp;EOMONTH(DATE(YEAR('Falls Summary'!$E$7),MONTH('Falls Summary'!$E$7),1),0),'Falls Data Entry'!$A$6:$A$423,B13)</f>
        <v>0</v>
      </c>
      <c r="D13">
        <f t="shared" si="0"/>
        <v>1</v>
      </c>
    </row>
    <row r="14" spans="2:8" ht="16.5" x14ac:dyDescent="0.3">
      <c r="C14" s="7">
        <f>COUNTIFS('Falls Data Entry'!$H$6:$H$423,"&lt;&gt;"&amp;" ",'Falls Data Entry'!$H$6:$H$423,"&gt;="&amp;DATE(YEAR('Falls Summary'!$E$7),MONTH('Falls Summary'!$E$7),1),'Falls Data Entry'!$H$6:$H$423,"&lt;="&amp;EOMONTH(DATE(YEAR('Falls Summary'!$E$7),MONTH('Falls Summary'!$E$7),1),0),'Falls Data Entry'!$A$6:$A$423,B14)</f>
        <v>0</v>
      </c>
      <c r="D14">
        <f t="shared" si="0"/>
        <v>1</v>
      </c>
    </row>
    <row r="15" spans="2:8" ht="16.5" x14ac:dyDescent="0.3">
      <c r="C15" s="7">
        <f>COUNTIFS('Falls Data Entry'!$H$6:$H$423,"&lt;&gt;"&amp;" ",'Falls Data Entry'!$H$6:$H$423,"&gt;="&amp;DATE(YEAR('Falls Summary'!$E$7),MONTH('Falls Summary'!$E$7),1),'Falls Data Entry'!$H$6:$H$423,"&lt;="&amp;EOMONTH(DATE(YEAR('Falls Summary'!$E$7),MONTH('Falls Summary'!$E$7),1),0),'Falls Data Entry'!$A$6:$A$423,B15)</f>
        <v>0</v>
      </c>
      <c r="D15">
        <f t="shared" si="0"/>
        <v>1</v>
      </c>
    </row>
    <row r="16" spans="2:8" ht="16.5" x14ac:dyDescent="0.3">
      <c r="C16" s="7">
        <f>COUNTIFS('Falls Data Entry'!$H$6:$H$423,"&lt;&gt;"&amp;" ",'Falls Data Entry'!$H$6:$H$423,"&gt;="&amp;DATE(YEAR('Falls Summary'!$E$7),MONTH('Falls Summary'!$E$7),1),'Falls Data Entry'!$H$6:$H$423,"&lt;="&amp;EOMONTH(DATE(YEAR('Falls Summary'!$E$7),MONTH('Falls Summary'!$E$7),1),0),'Falls Data Entry'!$A$6:$A$423,B16)</f>
        <v>0</v>
      </c>
      <c r="D16">
        <f t="shared" si="0"/>
        <v>1</v>
      </c>
    </row>
    <row r="17" spans="3:4" ht="16.5" x14ac:dyDescent="0.3">
      <c r="C17" s="7">
        <f>COUNTIFS('Falls Data Entry'!$H$6:$H$423,"&lt;&gt;"&amp;" ",'Falls Data Entry'!$H$6:$H$423,"&gt;="&amp;DATE(YEAR('Falls Summary'!$E$7),MONTH('Falls Summary'!$E$7),1),'Falls Data Entry'!$H$6:$H$423,"&lt;="&amp;EOMONTH(DATE(YEAR('Falls Summary'!$E$7),MONTH('Falls Summary'!$E$7),1),0),'Falls Data Entry'!$A$6:$A$423,B17)</f>
        <v>0</v>
      </c>
      <c r="D17">
        <f t="shared" si="0"/>
        <v>1</v>
      </c>
    </row>
    <row r="18" spans="3:4" ht="16.5" x14ac:dyDescent="0.3">
      <c r="C18" s="7">
        <f>COUNTIFS('Falls Data Entry'!$H$6:$H$423,"&lt;&gt;"&amp;" ",'Falls Data Entry'!$H$6:$H$423,"&gt;="&amp;DATE(YEAR('Falls Summary'!$E$7),MONTH('Falls Summary'!$E$7),1),'Falls Data Entry'!$H$6:$H$423,"&lt;="&amp;EOMONTH(DATE(YEAR('Falls Summary'!$E$7),MONTH('Falls Summary'!$E$7),1),0),'Falls Data Entry'!$A$6:$A$423,B18)</f>
        <v>0</v>
      </c>
      <c r="D18">
        <f t="shared" si="0"/>
        <v>1</v>
      </c>
    </row>
    <row r="19" spans="3:4" ht="16.5" x14ac:dyDescent="0.3">
      <c r="C19" s="7">
        <f>COUNTIFS('Falls Data Entry'!$H$6:$H$423,"&lt;&gt;"&amp;" ",'Falls Data Entry'!$H$6:$H$423,"&gt;="&amp;DATE(YEAR('Falls Summary'!$E$7),MONTH('Falls Summary'!$E$7),1),'Falls Data Entry'!$H$6:$H$423,"&lt;="&amp;EOMONTH(DATE(YEAR('Falls Summary'!$E$7),MONTH('Falls Summary'!$E$7),1),0),'Falls Data Entry'!$A$6:$A$423,B19)</f>
        <v>0</v>
      </c>
      <c r="D19">
        <f t="shared" si="0"/>
        <v>1</v>
      </c>
    </row>
    <row r="20" spans="3:4" ht="16.5" x14ac:dyDescent="0.3">
      <c r="C20" s="7">
        <f>COUNTIFS('Falls Data Entry'!$H$6:$H$423,"&lt;&gt;"&amp;" ",'Falls Data Entry'!$H$6:$H$423,"&gt;="&amp;DATE(YEAR('Falls Summary'!$E$7),MONTH('Falls Summary'!$E$7),1),'Falls Data Entry'!$H$6:$H$423,"&lt;="&amp;EOMONTH(DATE(YEAR('Falls Summary'!$E$7),MONTH('Falls Summary'!$E$7),1),0),'Falls Data Entry'!$A$6:$A$423,B20)</f>
        <v>0</v>
      </c>
      <c r="D20">
        <f t="shared" si="0"/>
        <v>1</v>
      </c>
    </row>
    <row r="21" spans="3:4" ht="16.5" x14ac:dyDescent="0.3">
      <c r="C21" s="7">
        <f>COUNTIFS('Falls Data Entry'!$H$6:$H$423,"&lt;&gt;"&amp;" ",'Falls Data Entry'!$H$6:$H$423,"&gt;="&amp;DATE(YEAR('Falls Summary'!$E$7),MONTH('Falls Summary'!$E$7),1),'Falls Data Entry'!$H$6:$H$423,"&lt;="&amp;EOMONTH(DATE(YEAR('Falls Summary'!$E$7),MONTH('Falls Summary'!$E$7),1),0),'Falls Data Entry'!$A$6:$A$423,B21)</f>
        <v>0</v>
      </c>
      <c r="D21">
        <f t="shared" si="0"/>
        <v>1</v>
      </c>
    </row>
    <row r="22" spans="3:4" ht="16.5" x14ac:dyDescent="0.3">
      <c r="C22" s="7">
        <f>COUNTIFS('Falls Data Entry'!$H$6:$H$423,"&lt;&gt;"&amp;" ",'Falls Data Entry'!$H$6:$H$423,"&gt;="&amp;DATE(YEAR('Falls Summary'!$E$7),MONTH('Falls Summary'!$E$7),1),'Falls Data Entry'!$H$6:$H$423,"&lt;="&amp;EOMONTH(DATE(YEAR('Falls Summary'!$E$7),MONTH('Falls Summary'!$E$7),1),0),'Falls Data Entry'!$A$6:$A$423,B22)</f>
        <v>0</v>
      </c>
      <c r="D22">
        <f t="shared" si="0"/>
        <v>1</v>
      </c>
    </row>
    <row r="23" spans="3:4" ht="16.5" x14ac:dyDescent="0.3">
      <c r="C23" s="7"/>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2D99A-08E7-4315-BAC7-64DCFDA586B5}">
  <dimension ref="A1:R523"/>
  <sheetViews>
    <sheetView topLeftCell="A2" workbookViewId="0">
      <selection activeCell="A33" sqref="A33"/>
    </sheetView>
  </sheetViews>
  <sheetFormatPr defaultRowHeight="15" x14ac:dyDescent="0.25"/>
  <cols>
    <col min="1" max="1" width="31.42578125" customWidth="1"/>
    <col min="3" max="3" width="4.140625" customWidth="1"/>
    <col min="4" max="4" width="31.42578125" customWidth="1"/>
    <col min="5" max="5" width="8.85546875" customWidth="1"/>
    <col min="6" max="6" width="4.140625" customWidth="1"/>
    <col min="7" max="7" width="31.42578125" customWidth="1"/>
    <col min="8" max="8" width="8.85546875" customWidth="1"/>
    <col min="9" max="9" width="4.140625" customWidth="1"/>
    <col min="10" max="10" width="31.42578125" customWidth="1"/>
    <col min="11" max="11" width="8.85546875" customWidth="1"/>
    <col min="12" max="12" width="4.140625" customWidth="1"/>
    <col min="13" max="13" width="17.5703125" customWidth="1"/>
  </cols>
  <sheetData>
    <row r="1" spans="1:18" x14ac:dyDescent="0.25">
      <c r="A1" t="s">
        <v>109</v>
      </c>
      <c r="B1" t="s">
        <v>110</v>
      </c>
      <c r="D1" t="s">
        <v>111</v>
      </c>
      <c r="E1" t="s">
        <v>110</v>
      </c>
      <c r="G1" t="s">
        <v>112</v>
      </c>
      <c r="H1" t="s">
        <v>110</v>
      </c>
      <c r="J1" t="s">
        <v>113</v>
      </c>
      <c r="K1" t="s">
        <v>110</v>
      </c>
      <c r="M1" s="48">
        <v>43831</v>
      </c>
      <c r="O1" t="s">
        <v>114</v>
      </c>
      <c r="P1" t="s">
        <v>115</v>
      </c>
      <c r="R1" t="s">
        <v>116</v>
      </c>
    </row>
    <row r="2" spans="1:18" x14ac:dyDescent="0.25">
      <c r="A2" t="s">
        <v>117</v>
      </c>
      <c r="B2" t="s">
        <v>118</v>
      </c>
      <c r="D2" t="s">
        <v>119</v>
      </c>
      <c r="E2" t="s">
        <v>120</v>
      </c>
      <c r="G2" t="s">
        <v>121</v>
      </c>
      <c r="H2" t="s">
        <v>122</v>
      </c>
      <c r="J2" t="s">
        <v>123</v>
      </c>
      <c r="K2" t="s">
        <v>124</v>
      </c>
      <c r="M2" s="48">
        <v>43862</v>
      </c>
      <c r="O2" t="s">
        <v>125</v>
      </c>
      <c r="P2" t="s">
        <v>126</v>
      </c>
      <c r="R2" t="s">
        <v>127</v>
      </c>
    </row>
    <row r="3" spans="1:18" x14ac:dyDescent="0.25">
      <c r="A3" t="s">
        <v>128</v>
      </c>
      <c r="B3" t="s">
        <v>129</v>
      </c>
      <c r="D3" t="s">
        <v>130</v>
      </c>
      <c r="E3" t="s">
        <v>131</v>
      </c>
      <c r="G3" t="s">
        <v>132</v>
      </c>
      <c r="H3" t="s">
        <v>133</v>
      </c>
      <c r="J3" t="s">
        <v>134</v>
      </c>
      <c r="K3" t="s">
        <v>135</v>
      </c>
      <c r="M3" s="48">
        <v>43891</v>
      </c>
      <c r="O3" t="s">
        <v>136</v>
      </c>
      <c r="P3" t="s">
        <v>137</v>
      </c>
      <c r="R3" t="s">
        <v>138</v>
      </c>
    </row>
    <row r="4" spans="1:18" x14ac:dyDescent="0.25">
      <c r="A4" t="s">
        <v>139</v>
      </c>
      <c r="B4" t="s">
        <v>140</v>
      </c>
      <c r="D4" t="s">
        <v>141</v>
      </c>
      <c r="E4" t="s">
        <v>142</v>
      </c>
      <c r="G4" t="s">
        <v>143</v>
      </c>
      <c r="H4" t="s">
        <v>144</v>
      </c>
      <c r="J4" t="s">
        <v>145</v>
      </c>
      <c r="K4" t="s">
        <v>146</v>
      </c>
      <c r="M4" s="48">
        <v>43922</v>
      </c>
      <c r="O4" t="s">
        <v>147</v>
      </c>
      <c r="P4" t="s">
        <v>148</v>
      </c>
      <c r="R4" t="s">
        <v>149</v>
      </c>
    </row>
    <row r="5" spans="1:18" x14ac:dyDescent="0.25">
      <c r="A5" t="s">
        <v>150</v>
      </c>
      <c r="B5" t="s">
        <v>151</v>
      </c>
      <c r="D5" t="s">
        <v>152</v>
      </c>
      <c r="E5" t="s">
        <v>153</v>
      </c>
      <c r="G5" t="s">
        <v>154</v>
      </c>
      <c r="H5" t="s">
        <v>155</v>
      </c>
      <c r="J5" t="s">
        <v>156</v>
      </c>
      <c r="K5" t="s">
        <v>157</v>
      </c>
      <c r="M5" s="48">
        <v>43952</v>
      </c>
      <c r="R5" t="s">
        <v>158</v>
      </c>
    </row>
    <row r="6" spans="1:18" x14ac:dyDescent="0.25">
      <c r="A6" t="s">
        <v>159</v>
      </c>
      <c r="B6" t="s">
        <v>160</v>
      </c>
      <c r="D6" t="s">
        <v>161</v>
      </c>
      <c r="E6" t="s">
        <v>162</v>
      </c>
      <c r="G6" t="s">
        <v>163</v>
      </c>
      <c r="H6" t="s">
        <v>164</v>
      </c>
      <c r="J6" t="s">
        <v>165</v>
      </c>
      <c r="K6" t="s">
        <v>166</v>
      </c>
      <c r="M6" s="48">
        <v>43983</v>
      </c>
      <c r="R6" t="s">
        <v>167</v>
      </c>
    </row>
    <row r="7" spans="1:18" x14ac:dyDescent="0.25">
      <c r="A7" t="s">
        <v>168</v>
      </c>
      <c r="B7" t="s">
        <v>169</v>
      </c>
      <c r="D7" t="s">
        <v>170</v>
      </c>
      <c r="E7" t="s">
        <v>171</v>
      </c>
      <c r="G7" t="s">
        <v>172</v>
      </c>
      <c r="H7" t="s">
        <v>173</v>
      </c>
      <c r="J7" t="s">
        <v>174</v>
      </c>
      <c r="K7" t="s">
        <v>175</v>
      </c>
      <c r="M7" s="48">
        <v>44013</v>
      </c>
      <c r="R7" t="s">
        <v>32</v>
      </c>
    </row>
    <row r="8" spans="1:18" x14ac:dyDescent="0.25">
      <c r="A8" t="s">
        <v>176</v>
      </c>
      <c r="B8" t="s">
        <v>177</v>
      </c>
      <c r="D8" t="s">
        <v>178</v>
      </c>
      <c r="E8" t="s">
        <v>179</v>
      </c>
      <c r="G8" t="s">
        <v>180</v>
      </c>
      <c r="H8" t="s">
        <v>181</v>
      </c>
      <c r="J8" t="s">
        <v>182</v>
      </c>
      <c r="K8" t="s">
        <v>183</v>
      </c>
      <c r="M8" s="48">
        <v>44044</v>
      </c>
    </row>
    <row r="9" spans="1:18" x14ac:dyDescent="0.25">
      <c r="A9" t="s">
        <v>184</v>
      </c>
      <c r="B9" t="s">
        <v>185</v>
      </c>
      <c r="D9" t="s">
        <v>186</v>
      </c>
      <c r="E9" t="s">
        <v>187</v>
      </c>
      <c r="G9" t="s">
        <v>188</v>
      </c>
      <c r="H9" t="s">
        <v>189</v>
      </c>
      <c r="J9" t="s">
        <v>190</v>
      </c>
      <c r="K9" t="s">
        <v>191</v>
      </c>
      <c r="M9" s="48">
        <v>44075</v>
      </c>
    </row>
    <row r="10" spans="1:18" x14ac:dyDescent="0.25">
      <c r="A10" t="s">
        <v>192</v>
      </c>
      <c r="B10" t="s">
        <v>193</v>
      </c>
      <c r="D10" t="s">
        <v>194</v>
      </c>
      <c r="E10" t="s">
        <v>195</v>
      </c>
      <c r="G10" t="s">
        <v>196</v>
      </c>
      <c r="H10" t="s">
        <v>197</v>
      </c>
      <c r="J10" t="s">
        <v>198</v>
      </c>
      <c r="K10" t="s">
        <v>199</v>
      </c>
      <c r="M10" s="48">
        <v>44105</v>
      </c>
    </row>
    <row r="11" spans="1:18" x14ac:dyDescent="0.25">
      <c r="A11" t="s">
        <v>200</v>
      </c>
      <c r="B11" t="s">
        <v>201</v>
      </c>
      <c r="D11" t="s">
        <v>202</v>
      </c>
      <c r="E11" t="s">
        <v>203</v>
      </c>
      <c r="G11" t="s">
        <v>204</v>
      </c>
      <c r="H11" t="s">
        <v>205</v>
      </c>
      <c r="J11" t="s">
        <v>206</v>
      </c>
      <c r="K11" t="s">
        <v>207</v>
      </c>
      <c r="M11" s="48">
        <v>44136</v>
      </c>
    </row>
    <row r="12" spans="1:18" x14ac:dyDescent="0.25">
      <c r="A12" t="s">
        <v>208</v>
      </c>
      <c r="B12" t="s">
        <v>209</v>
      </c>
      <c r="D12" t="s">
        <v>210</v>
      </c>
      <c r="E12" t="s">
        <v>211</v>
      </c>
      <c r="G12" t="s">
        <v>212</v>
      </c>
      <c r="H12" t="s">
        <v>213</v>
      </c>
      <c r="J12" t="s">
        <v>214</v>
      </c>
      <c r="K12" t="s">
        <v>215</v>
      </c>
      <c r="M12" s="48">
        <v>44166</v>
      </c>
    </row>
    <row r="13" spans="1:18" x14ac:dyDescent="0.25">
      <c r="A13" t="s">
        <v>216</v>
      </c>
      <c r="B13" t="s">
        <v>217</v>
      </c>
      <c r="D13" t="s">
        <v>218</v>
      </c>
      <c r="E13" t="s">
        <v>219</v>
      </c>
      <c r="G13" t="s">
        <v>220</v>
      </c>
      <c r="H13" t="s">
        <v>221</v>
      </c>
      <c r="J13" t="s">
        <v>222</v>
      </c>
      <c r="K13" t="s">
        <v>223</v>
      </c>
      <c r="M13" s="48">
        <v>44197</v>
      </c>
    </row>
    <row r="14" spans="1:18" x14ac:dyDescent="0.25">
      <c r="A14" t="s">
        <v>224</v>
      </c>
      <c r="B14" t="s">
        <v>225</v>
      </c>
      <c r="D14" t="s">
        <v>226</v>
      </c>
      <c r="E14" t="s">
        <v>227</v>
      </c>
      <c r="G14" t="s">
        <v>228</v>
      </c>
      <c r="H14" t="s">
        <v>229</v>
      </c>
      <c r="J14" t="s">
        <v>230</v>
      </c>
      <c r="K14" t="s">
        <v>231</v>
      </c>
      <c r="M14" s="48">
        <v>44228</v>
      </c>
    </row>
    <row r="15" spans="1:18" x14ac:dyDescent="0.25">
      <c r="A15" t="s">
        <v>232</v>
      </c>
      <c r="B15" t="s">
        <v>233</v>
      </c>
      <c r="D15" t="s">
        <v>234</v>
      </c>
      <c r="E15" t="s">
        <v>235</v>
      </c>
      <c r="G15" t="s">
        <v>236</v>
      </c>
      <c r="H15" t="s">
        <v>237</v>
      </c>
      <c r="J15" t="s">
        <v>238</v>
      </c>
      <c r="K15" t="s">
        <v>239</v>
      </c>
      <c r="M15" s="48">
        <v>44256</v>
      </c>
    </row>
    <row r="16" spans="1:18" x14ac:dyDescent="0.25">
      <c r="A16" t="s">
        <v>240</v>
      </c>
      <c r="B16" t="s">
        <v>241</v>
      </c>
      <c r="D16" t="s">
        <v>242</v>
      </c>
      <c r="E16" t="s">
        <v>243</v>
      </c>
      <c r="G16" t="s">
        <v>244</v>
      </c>
      <c r="H16" t="s">
        <v>245</v>
      </c>
      <c r="J16" t="s">
        <v>246</v>
      </c>
      <c r="K16" t="s">
        <v>247</v>
      </c>
      <c r="M16" s="48">
        <v>44287</v>
      </c>
    </row>
    <row r="17" spans="1:13" x14ac:dyDescent="0.25">
      <c r="A17" t="s">
        <v>248</v>
      </c>
      <c r="B17" t="s">
        <v>249</v>
      </c>
      <c r="D17" t="s">
        <v>250</v>
      </c>
      <c r="E17" t="s">
        <v>251</v>
      </c>
      <c r="G17" t="s">
        <v>252</v>
      </c>
      <c r="H17" t="s">
        <v>253</v>
      </c>
      <c r="J17" t="s">
        <v>254</v>
      </c>
      <c r="K17" t="s">
        <v>255</v>
      </c>
      <c r="M17" s="48">
        <v>44317</v>
      </c>
    </row>
    <row r="18" spans="1:13" x14ac:dyDescent="0.25">
      <c r="A18" t="s">
        <v>256</v>
      </c>
      <c r="B18" t="s">
        <v>257</v>
      </c>
      <c r="D18" t="s">
        <v>258</v>
      </c>
      <c r="E18" t="s">
        <v>259</v>
      </c>
      <c r="G18" t="s">
        <v>260</v>
      </c>
      <c r="H18" t="s">
        <v>261</v>
      </c>
      <c r="J18" t="s">
        <v>262</v>
      </c>
      <c r="K18" t="s">
        <v>263</v>
      </c>
      <c r="M18" s="48">
        <v>44348</v>
      </c>
    </row>
    <row r="19" spans="1:13" x14ac:dyDescent="0.25">
      <c r="A19" t="s">
        <v>264</v>
      </c>
      <c r="B19" t="s">
        <v>265</v>
      </c>
      <c r="D19" t="s">
        <v>266</v>
      </c>
      <c r="E19" t="s">
        <v>267</v>
      </c>
      <c r="G19" t="s">
        <v>268</v>
      </c>
      <c r="H19" t="s">
        <v>269</v>
      </c>
      <c r="J19" t="s">
        <v>270</v>
      </c>
      <c r="K19" t="s">
        <v>271</v>
      </c>
      <c r="M19" s="48">
        <v>44378</v>
      </c>
    </row>
    <row r="20" spans="1:13" x14ac:dyDescent="0.25">
      <c r="A20" t="s">
        <v>272</v>
      </c>
      <c r="B20" t="s">
        <v>273</v>
      </c>
      <c r="D20" t="s">
        <v>274</v>
      </c>
      <c r="E20" t="s">
        <v>275</v>
      </c>
      <c r="G20" t="s">
        <v>276</v>
      </c>
      <c r="H20" t="s">
        <v>277</v>
      </c>
      <c r="J20" t="s">
        <v>278</v>
      </c>
      <c r="K20" t="s">
        <v>279</v>
      </c>
      <c r="M20" s="48">
        <v>44409</v>
      </c>
    </row>
    <row r="21" spans="1:13" x14ac:dyDescent="0.25">
      <c r="A21" t="s">
        <v>280</v>
      </c>
      <c r="B21" t="s">
        <v>281</v>
      </c>
      <c r="D21" t="s">
        <v>282</v>
      </c>
      <c r="E21" t="s">
        <v>283</v>
      </c>
      <c r="G21" t="s">
        <v>284</v>
      </c>
      <c r="H21" t="s">
        <v>285</v>
      </c>
      <c r="J21" t="s">
        <v>286</v>
      </c>
      <c r="K21" t="s">
        <v>287</v>
      </c>
      <c r="M21" s="48">
        <v>44440</v>
      </c>
    </row>
    <row r="22" spans="1:13" x14ac:dyDescent="0.25">
      <c r="A22" t="s">
        <v>288</v>
      </c>
      <c r="B22" t="s">
        <v>289</v>
      </c>
      <c r="D22" t="s">
        <v>290</v>
      </c>
      <c r="E22" t="s">
        <v>291</v>
      </c>
      <c r="G22" t="s">
        <v>292</v>
      </c>
      <c r="H22" t="s">
        <v>293</v>
      </c>
      <c r="J22" t="s">
        <v>294</v>
      </c>
      <c r="K22" t="s">
        <v>295</v>
      </c>
      <c r="M22" s="48">
        <v>44470</v>
      </c>
    </row>
    <row r="23" spans="1:13" x14ac:dyDescent="0.25">
      <c r="A23" t="s">
        <v>296</v>
      </c>
      <c r="B23" t="s">
        <v>297</v>
      </c>
      <c r="D23" t="s">
        <v>298</v>
      </c>
      <c r="E23" t="s">
        <v>299</v>
      </c>
      <c r="G23" t="s">
        <v>300</v>
      </c>
      <c r="H23" t="s">
        <v>301</v>
      </c>
      <c r="J23" t="s">
        <v>302</v>
      </c>
      <c r="K23" t="s">
        <v>303</v>
      </c>
      <c r="M23" s="48">
        <v>44501</v>
      </c>
    </row>
    <row r="24" spans="1:13" x14ac:dyDescent="0.25">
      <c r="A24" t="s">
        <v>304</v>
      </c>
      <c r="B24" t="s">
        <v>305</v>
      </c>
      <c r="D24" t="s">
        <v>306</v>
      </c>
      <c r="E24" t="s">
        <v>307</v>
      </c>
      <c r="G24" t="s">
        <v>308</v>
      </c>
      <c r="H24" t="s">
        <v>309</v>
      </c>
      <c r="J24" t="s">
        <v>310</v>
      </c>
      <c r="K24" t="s">
        <v>311</v>
      </c>
      <c r="M24" s="48">
        <v>44531</v>
      </c>
    </row>
    <row r="25" spans="1:13" x14ac:dyDescent="0.25">
      <c r="A25" t="s">
        <v>312</v>
      </c>
      <c r="B25" t="s">
        <v>313</v>
      </c>
      <c r="D25" t="s">
        <v>314</v>
      </c>
      <c r="E25" t="s">
        <v>315</v>
      </c>
      <c r="G25" t="s">
        <v>316</v>
      </c>
      <c r="H25" t="s">
        <v>317</v>
      </c>
      <c r="J25" t="s">
        <v>318</v>
      </c>
      <c r="K25" t="s">
        <v>319</v>
      </c>
    </row>
    <row r="26" spans="1:13" x14ac:dyDescent="0.25">
      <c r="A26" t="s">
        <v>320</v>
      </c>
      <c r="B26" t="s">
        <v>321</v>
      </c>
      <c r="D26" t="s">
        <v>322</v>
      </c>
      <c r="E26" t="s">
        <v>323</v>
      </c>
      <c r="G26" t="s">
        <v>324</v>
      </c>
      <c r="H26" t="s">
        <v>325</v>
      </c>
      <c r="J26" t="s">
        <v>326</v>
      </c>
      <c r="K26" t="s">
        <v>327</v>
      </c>
    </row>
    <row r="27" spans="1:13" x14ac:dyDescent="0.25">
      <c r="A27" t="s">
        <v>328</v>
      </c>
      <c r="B27" t="s">
        <v>329</v>
      </c>
      <c r="D27" t="s">
        <v>330</v>
      </c>
      <c r="E27" t="s">
        <v>331</v>
      </c>
      <c r="G27" t="s">
        <v>332</v>
      </c>
      <c r="H27" t="s">
        <v>333</v>
      </c>
      <c r="J27" t="s">
        <v>334</v>
      </c>
      <c r="K27" t="s">
        <v>335</v>
      </c>
    </row>
    <row r="28" spans="1:13" x14ac:dyDescent="0.25">
      <c r="A28" t="s">
        <v>336</v>
      </c>
      <c r="B28" t="s">
        <v>337</v>
      </c>
      <c r="D28" t="s">
        <v>338</v>
      </c>
      <c r="E28" t="s">
        <v>339</v>
      </c>
      <c r="G28" t="s">
        <v>340</v>
      </c>
      <c r="H28" t="s">
        <v>341</v>
      </c>
      <c r="J28" t="s">
        <v>342</v>
      </c>
      <c r="K28" t="s">
        <v>343</v>
      </c>
    </row>
    <row r="29" spans="1:13" x14ac:dyDescent="0.25">
      <c r="A29" t="s">
        <v>344</v>
      </c>
      <c r="B29" t="s">
        <v>345</v>
      </c>
      <c r="D29" t="s">
        <v>346</v>
      </c>
      <c r="E29" t="s">
        <v>347</v>
      </c>
      <c r="G29" t="s">
        <v>348</v>
      </c>
      <c r="H29" t="s">
        <v>349</v>
      </c>
      <c r="J29" t="s">
        <v>350</v>
      </c>
      <c r="K29" t="s">
        <v>351</v>
      </c>
    </row>
    <row r="30" spans="1:13" x14ac:dyDescent="0.25">
      <c r="A30" t="s">
        <v>352</v>
      </c>
      <c r="B30" t="s">
        <v>353</v>
      </c>
      <c r="D30" t="s">
        <v>354</v>
      </c>
      <c r="E30" t="s">
        <v>355</v>
      </c>
      <c r="G30" t="s">
        <v>356</v>
      </c>
      <c r="H30" t="s">
        <v>357</v>
      </c>
      <c r="J30" t="s">
        <v>358</v>
      </c>
      <c r="K30" t="s">
        <v>359</v>
      </c>
    </row>
    <row r="31" spans="1:13" x14ac:dyDescent="0.25">
      <c r="A31" t="s">
        <v>360</v>
      </c>
      <c r="B31" t="s">
        <v>361</v>
      </c>
      <c r="D31" t="s">
        <v>362</v>
      </c>
      <c r="E31" t="s">
        <v>363</v>
      </c>
      <c r="G31" t="s">
        <v>364</v>
      </c>
      <c r="H31" t="s">
        <v>365</v>
      </c>
      <c r="J31" t="s">
        <v>366</v>
      </c>
      <c r="K31" t="s">
        <v>367</v>
      </c>
    </row>
    <row r="32" spans="1:13" x14ac:dyDescent="0.25">
      <c r="A32" t="s">
        <v>368</v>
      </c>
      <c r="B32" t="s">
        <v>369</v>
      </c>
      <c r="D32" t="s">
        <v>370</v>
      </c>
      <c r="E32" t="s">
        <v>371</v>
      </c>
      <c r="G32" t="s">
        <v>372</v>
      </c>
      <c r="H32" t="s">
        <v>373</v>
      </c>
      <c r="J32" t="s">
        <v>374</v>
      </c>
      <c r="K32" t="s">
        <v>375</v>
      </c>
    </row>
    <row r="33" spans="1:11" x14ac:dyDescent="0.25">
      <c r="A33" t="s">
        <v>376</v>
      </c>
      <c r="B33" t="s">
        <v>377</v>
      </c>
      <c r="D33" t="s">
        <v>378</v>
      </c>
      <c r="E33" t="s">
        <v>379</v>
      </c>
      <c r="G33" t="s">
        <v>380</v>
      </c>
      <c r="H33" t="s">
        <v>381</v>
      </c>
      <c r="J33" t="s">
        <v>382</v>
      </c>
      <c r="K33" t="s">
        <v>383</v>
      </c>
    </row>
    <row r="34" spans="1:11" x14ac:dyDescent="0.25">
      <c r="A34" t="s">
        <v>384</v>
      </c>
      <c r="B34" t="s">
        <v>385</v>
      </c>
      <c r="D34" t="s">
        <v>386</v>
      </c>
      <c r="E34" t="s">
        <v>387</v>
      </c>
      <c r="G34" t="s">
        <v>388</v>
      </c>
      <c r="H34" t="s">
        <v>389</v>
      </c>
      <c r="J34" t="s">
        <v>390</v>
      </c>
      <c r="K34" t="s">
        <v>391</v>
      </c>
    </row>
    <row r="35" spans="1:11" x14ac:dyDescent="0.25">
      <c r="A35" t="s">
        <v>392</v>
      </c>
      <c r="B35" t="s">
        <v>393</v>
      </c>
      <c r="D35" t="s">
        <v>394</v>
      </c>
      <c r="E35" t="s">
        <v>395</v>
      </c>
      <c r="G35" t="s">
        <v>396</v>
      </c>
      <c r="H35" t="s">
        <v>397</v>
      </c>
      <c r="J35" t="s">
        <v>398</v>
      </c>
      <c r="K35" t="s">
        <v>399</v>
      </c>
    </row>
    <row r="36" spans="1:11" x14ac:dyDescent="0.25">
      <c r="A36" t="s">
        <v>400</v>
      </c>
      <c r="B36" t="s">
        <v>401</v>
      </c>
      <c r="D36" t="s">
        <v>402</v>
      </c>
      <c r="E36" t="s">
        <v>403</v>
      </c>
      <c r="G36" t="s">
        <v>404</v>
      </c>
      <c r="H36" t="s">
        <v>405</v>
      </c>
      <c r="J36" t="s">
        <v>406</v>
      </c>
      <c r="K36" t="s">
        <v>407</v>
      </c>
    </row>
    <row r="37" spans="1:11" x14ac:dyDescent="0.25">
      <c r="A37" t="s">
        <v>408</v>
      </c>
      <c r="B37" t="s">
        <v>409</v>
      </c>
      <c r="D37" t="s">
        <v>410</v>
      </c>
      <c r="E37" t="s">
        <v>411</v>
      </c>
      <c r="G37" t="s">
        <v>412</v>
      </c>
      <c r="H37" t="s">
        <v>413</v>
      </c>
      <c r="J37" t="s">
        <v>414</v>
      </c>
      <c r="K37" t="s">
        <v>415</v>
      </c>
    </row>
    <row r="38" spans="1:11" x14ac:dyDescent="0.25">
      <c r="A38" t="s">
        <v>416</v>
      </c>
      <c r="B38" t="s">
        <v>417</v>
      </c>
      <c r="D38" t="s">
        <v>418</v>
      </c>
      <c r="E38" t="s">
        <v>419</v>
      </c>
      <c r="G38" t="s">
        <v>420</v>
      </c>
      <c r="H38" t="s">
        <v>421</v>
      </c>
      <c r="J38" t="s">
        <v>422</v>
      </c>
      <c r="K38" t="s">
        <v>423</v>
      </c>
    </row>
    <row r="39" spans="1:11" x14ac:dyDescent="0.25">
      <c r="A39" t="s">
        <v>424</v>
      </c>
      <c r="B39" t="s">
        <v>425</v>
      </c>
      <c r="D39" t="s">
        <v>426</v>
      </c>
      <c r="E39" t="s">
        <v>427</v>
      </c>
      <c r="G39" t="s">
        <v>428</v>
      </c>
      <c r="H39" t="s">
        <v>429</v>
      </c>
      <c r="J39" t="s">
        <v>430</v>
      </c>
      <c r="K39" t="s">
        <v>431</v>
      </c>
    </row>
    <row r="40" spans="1:11" x14ac:dyDescent="0.25">
      <c r="A40" t="s">
        <v>432</v>
      </c>
      <c r="B40" t="s">
        <v>433</v>
      </c>
      <c r="D40" t="s">
        <v>434</v>
      </c>
      <c r="E40" t="s">
        <v>435</v>
      </c>
      <c r="G40" t="s">
        <v>436</v>
      </c>
      <c r="H40" t="s">
        <v>437</v>
      </c>
      <c r="J40" t="s">
        <v>438</v>
      </c>
      <c r="K40" t="s">
        <v>439</v>
      </c>
    </row>
    <row r="41" spans="1:11" x14ac:dyDescent="0.25">
      <c r="A41" t="s">
        <v>440</v>
      </c>
      <c r="B41" t="s">
        <v>441</v>
      </c>
      <c r="D41" t="s">
        <v>442</v>
      </c>
      <c r="E41" t="s">
        <v>443</v>
      </c>
      <c r="G41" t="s">
        <v>444</v>
      </c>
      <c r="H41" t="s">
        <v>445</v>
      </c>
      <c r="J41" t="s">
        <v>446</v>
      </c>
      <c r="K41" t="s">
        <v>447</v>
      </c>
    </row>
    <row r="42" spans="1:11" x14ac:dyDescent="0.25">
      <c r="A42" t="s">
        <v>448</v>
      </c>
      <c r="B42" t="s">
        <v>449</v>
      </c>
      <c r="D42" t="s">
        <v>450</v>
      </c>
      <c r="E42" t="s">
        <v>451</v>
      </c>
      <c r="G42" t="s">
        <v>452</v>
      </c>
      <c r="H42" t="s">
        <v>453</v>
      </c>
      <c r="J42" t="s">
        <v>454</v>
      </c>
      <c r="K42" t="s">
        <v>455</v>
      </c>
    </row>
    <row r="43" spans="1:11" x14ac:dyDescent="0.25">
      <c r="A43" t="s">
        <v>456</v>
      </c>
      <c r="B43" t="s">
        <v>457</v>
      </c>
      <c r="D43" t="s">
        <v>458</v>
      </c>
      <c r="E43" t="s">
        <v>459</v>
      </c>
      <c r="G43" t="s">
        <v>460</v>
      </c>
      <c r="H43" t="s">
        <v>461</v>
      </c>
      <c r="J43" t="s">
        <v>462</v>
      </c>
      <c r="K43" t="s">
        <v>463</v>
      </c>
    </row>
    <row r="44" spans="1:11" x14ac:dyDescent="0.25">
      <c r="A44" t="s">
        <v>464</v>
      </c>
      <c r="B44" t="s">
        <v>465</v>
      </c>
      <c r="D44" t="s">
        <v>466</v>
      </c>
      <c r="E44" t="s">
        <v>467</v>
      </c>
      <c r="G44" t="s">
        <v>468</v>
      </c>
      <c r="H44" t="s">
        <v>469</v>
      </c>
      <c r="J44" t="s">
        <v>470</v>
      </c>
      <c r="K44" t="s">
        <v>471</v>
      </c>
    </row>
    <row r="45" spans="1:11" x14ac:dyDescent="0.25">
      <c r="A45" t="s">
        <v>472</v>
      </c>
      <c r="B45" t="s">
        <v>473</v>
      </c>
      <c r="D45" t="s">
        <v>474</v>
      </c>
      <c r="E45" t="s">
        <v>475</v>
      </c>
      <c r="G45" t="s">
        <v>476</v>
      </c>
      <c r="H45" t="s">
        <v>477</v>
      </c>
      <c r="J45" t="s">
        <v>478</v>
      </c>
      <c r="K45" t="s">
        <v>479</v>
      </c>
    </row>
    <row r="46" spans="1:11" x14ac:dyDescent="0.25">
      <c r="A46" t="s">
        <v>480</v>
      </c>
      <c r="B46" t="s">
        <v>481</v>
      </c>
      <c r="D46" t="s">
        <v>482</v>
      </c>
      <c r="E46" t="s">
        <v>483</v>
      </c>
      <c r="G46" t="s">
        <v>484</v>
      </c>
      <c r="H46" t="s">
        <v>485</v>
      </c>
      <c r="J46" t="s">
        <v>486</v>
      </c>
      <c r="K46" t="s">
        <v>487</v>
      </c>
    </row>
    <row r="47" spans="1:11" x14ac:dyDescent="0.25">
      <c r="A47" t="s">
        <v>488</v>
      </c>
      <c r="B47" t="s">
        <v>489</v>
      </c>
      <c r="D47" t="s">
        <v>490</v>
      </c>
      <c r="E47" t="s">
        <v>491</v>
      </c>
      <c r="G47" t="s">
        <v>492</v>
      </c>
      <c r="H47" t="s">
        <v>493</v>
      </c>
      <c r="J47" t="s">
        <v>494</v>
      </c>
      <c r="K47" t="s">
        <v>495</v>
      </c>
    </row>
    <row r="48" spans="1:11" x14ac:dyDescent="0.25">
      <c r="A48" t="s">
        <v>496</v>
      </c>
      <c r="B48" t="s">
        <v>497</v>
      </c>
      <c r="D48" t="s">
        <v>498</v>
      </c>
      <c r="E48" t="s">
        <v>499</v>
      </c>
      <c r="G48" t="s">
        <v>500</v>
      </c>
      <c r="H48" t="s">
        <v>501</v>
      </c>
      <c r="J48" t="s">
        <v>502</v>
      </c>
      <c r="K48" t="s">
        <v>503</v>
      </c>
    </row>
    <row r="49" spans="1:11" x14ac:dyDescent="0.25">
      <c r="A49" t="s">
        <v>504</v>
      </c>
      <c r="B49" t="s">
        <v>505</v>
      </c>
      <c r="D49" t="s">
        <v>506</v>
      </c>
      <c r="E49" t="s">
        <v>507</v>
      </c>
      <c r="G49" t="s">
        <v>508</v>
      </c>
      <c r="H49" t="s">
        <v>509</v>
      </c>
      <c r="J49" t="s">
        <v>510</v>
      </c>
      <c r="K49" t="s">
        <v>511</v>
      </c>
    </row>
    <row r="50" spans="1:11" x14ac:dyDescent="0.25">
      <c r="A50" t="s">
        <v>512</v>
      </c>
      <c r="B50" t="s">
        <v>513</v>
      </c>
      <c r="D50" t="s">
        <v>514</v>
      </c>
      <c r="E50" t="s">
        <v>515</v>
      </c>
      <c r="G50" t="s">
        <v>516</v>
      </c>
      <c r="H50" t="s">
        <v>517</v>
      </c>
      <c r="J50" t="s">
        <v>518</v>
      </c>
      <c r="K50" t="s">
        <v>519</v>
      </c>
    </row>
    <row r="51" spans="1:11" x14ac:dyDescent="0.25">
      <c r="A51" t="s">
        <v>520</v>
      </c>
      <c r="B51" t="s">
        <v>521</v>
      </c>
      <c r="D51" t="s">
        <v>522</v>
      </c>
      <c r="E51" t="s">
        <v>523</v>
      </c>
      <c r="G51" t="s">
        <v>524</v>
      </c>
      <c r="H51" t="s">
        <v>525</v>
      </c>
      <c r="J51" t="s">
        <v>526</v>
      </c>
      <c r="K51" t="s">
        <v>527</v>
      </c>
    </row>
    <row r="52" spans="1:11" x14ac:dyDescent="0.25">
      <c r="A52" t="s">
        <v>528</v>
      </c>
      <c r="B52" t="s">
        <v>529</v>
      </c>
      <c r="D52" t="s">
        <v>530</v>
      </c>
      <c r="E52" t="s">
        <v>531</v>
      </c>
      <c r="G52" t="s">
        <v>532</v>
      </c>
      <c r="H52" t="s">
        <v>533</v>
      </c>
      <c r="J52" t="s">
        <v>534</v>
      </c>
      <c r="K52" t="s">
        <v>535</v>
      </c>
    </row>
    <row r="53" spans="1:11" x14ac:dyDescent="0.25">
      <c r="A53" t="s">
        <v>536</v>
      </c>
      <c r="B53" t="s">
        <v>537</v>
      </c>
      <c r="D53" t="s">
        <v>538</v>
      </c>
      <c r="E53" t="s">
        <v>539</v>
      </c>
      <c r="G53" t="s">
        <v>540</v>
      </c>
      <c r="H53" t="s">
        <v>541</v>
      </c>
      <c r="J53" t="s">
        <v>542</v>
      </c>
      <c r="K53" t="s">
        <v>543</v>
      </c>
    </row>
    <row r="54" spans="1:11" x14ac:dyDescent="0.25">
      <c r="A54" t="s">
        <v>544</v>
      </c>
      <c r="B54" t="s">
        <v>545</v>
      </c>
      <c r="D54" t="s">
        <v>546</v>
      </c>
      <c r="E54" t="s">
        <v>547</v>
      </c>
      <c r="G54" t="s">
        <v>548</v>
      </c>
      <c r="H54" t="s">
        <v>549</v>
      </c>
      <c r="J54" t="s">
        <v>550</v>
      </c>
      <c r="K54" t="s">
        <v>551</v>
      </c>
    </row>
    <row r="55" spans="1:11" x14ac:dyDescent="0.25">
      <c r="A55" t="s">
        <v>552</v>
      </c>
      <c r="B55" t="s">
        <v>553</v>
      </c>
      <c r="D55" t="s">
        <v>554</v>
      </c>
      <c r="E55" t="s">
        <v>555</v>
      </c>
      <c r="G55" t="s">
        <v>556</v>
      </c>
      <c r="H55" t="s">
        <v>557</v>
      </c>
      <c r="J55" t="s">
        <v>558</v>
      </c>
      <c r="K55" t="s">
        <v>559</v>
      </c>
    </row>
    <row r="56" spans="1:11" x14ac:dyDescent="0.25">
      <c r="A56" t="s">
        <v>560</v>
      </c>
      <c r="B56" t="s">
        <v>561</v>
      </c>
      <c r="D56" t="s">
        <v>562</v>
      </c>
      <c r="E56" t="s">
        <v>563</v>
      </c>
      <c r="G56" t="s">
        <v>564</v>
      </c>
      <c r="H56" t="s">
        <v>565</v>
      </c>
      <c r="J56" t="s">
        <v>566</v>
      </c>
      <c r="K56" t="s">
        <v>567</v>
      </c>
    </row>
    <row r="57" spans="1:11" x14ac:dyDescent="0.25">
      <c r="A57" t="s">
        <v>568</v>
      </c>
      <c r="B57" t="s">
        <v>569</v>
      </c>
      <c r="D57" t="s">
        <v>570</v>
      </c>
      <c r="E57" t="s">
        <v>571</v>
      </c>
      <c r="G57" t="s">
        <v>572</v>
      </c>
      <c r="H57" t="s">
        <v>573</v>
      </c>
      <c r="J57" t="s">
        <v>574</v>
      </c>
      <c r="K57" t="s">
        <v>575</v>
      </c>
    </row>
    <row r="58" spans="1:11" x14ac:dyDescent="0.25">
      <c r="A58" t="s">
        <v>576</v>
      </c>
      <c r="B58" t="s">
        <v>577</v>
      </c>
      <c r="D58" t="s">
        <v>578</v>
      </c>
      <c r="E58" t="s">
        <v>579</v>
      </c>
      <c r="G58" t="s">
        <v>580</v>
      </c>
      <c r="H58" t="s">
        <v>581</v>
      </c>
      <c r="J58" t="s">
        <v>582</v>
      </c>
      <c r="K58" t="s">
        <v>583</v>
      </c>
    </row>
    <row r="59" spans="1:11" x14ac:dyDescent="0.25">
      <c r="A59" t="s">
        <v>584</v>
      </c>
      <c r="B59" t="s">
        <v>585</v>
      </c>
      <c r="D59" t="s">
        <v>586</v>
      </c>
      <c r="E59" t="s">
        <v>587</v>
      </c>
      <c r="G59" t="s">
        <v>588</v>
      </c>
      <c r="H59" t="s">
        <v>589</v>
      </c>
      <c r="J59" t="s">
        <v>590</v>
      </c>
      <c r="K59" t="s">
        <v>591</v>
      </c>
    </row>
    <row r="60" spans="1:11" x14ac:dyDescent="0.25">
      <c r="A60" t="s">
        <v>592</v>
      </c>
      <c r="B60" t="s">
        <v>593</v>
      </c>
      <c r="D60" t="s">
        <v>594</v>
      </c>
      <c r="E60" t="s">
        <v>595</v>
      </c>
      <c r="G60" t="s">
        <v>596</v>
      </c>
      <c r="H60" t="s">
        <v>597</v>
      </c>
      <c r="J60" t="s">
        <v>598</v>
      </c>
      <c r="K60" t="s">
        <v>599</v>
      </c>
    </row>
    <row r="61" spans="1:11" x14ac:dyDescent="0.25">
      <c r="A61" t="s">
        <v>600</v>
      </c>
      <c r="B61" t="s">
        <v>601</v>
      </c>
      <c r="D61" t="s">
        <v>602</v>
      </c>
      <c r="E61" t="s">
        <v>603</v>
      </c>
      <c r="G61" t="s">
        <v>604</v>
      </c>
      <c r="H61" t="s">
        <v>605</v>
      </c>
      <c r="J61" t="s">
        <v>606</v>
      </c>
      <c r="K61" t="s">
        <v>607</v>
      </c>
    </row>
    <row r="62" spans="1:11" x14ac:dyDescent="0.25">
      <c r="A62" t="s">
        <v>608</v>
      </c>
      <c r="B62" t="s">
        <v>609</v>
      </c>
      <c r="D62" t="s">
        <v>610</v>
      </c>
      <c r="E62" t="s">
        <v>611</v>
      </c>
      <c r="G62" t="s">
        <v>612</v>
      </c>
      <c r="H62" t="s">
        <v>613</v>
      </c>
      <c r="J62" t="s">
        <v>614</v>
      </c>
      <c r="K62" t="s">
        <v>615</v>
      </c>
    </row>
    <row r="63" spans="1:11" x14ac:dyDescent="0.25">
      <c r="A63" t="s">
        <v>616</v>
      </c>
      <c r="B63" t="s">
        <v>617</v>
      </c>
      <c r="D63" t="s">
        <v>618</v>
      </c>
      <c r="E63" t="s">
        <v>619</v>
      </c>
      <c r="G63" t="s">
        <v>620</v>
      </c>
      <c r="H63" t="s">
        <v>621</v>
      </c>
      <c r="J63" t="s">
        <v>622</v>
      </c>
      <c r="K63" t="s">
        <v>623</v>
      </c>
    </row>
    <row r="64" spans="1:11" x14ac:dyDescent="0.25">
      <c r="A64" t="s">
        <v>624</v>
      </c>
      <c r="B64" t="s">
        <v>625</v>
      </c>
      <c r="D64" t="s">
        <v>626</v>
      </c>
      <c r="E64" t="s">
        <v>627</v>
      </c>
      <c r="G64" t="s">
        <v>628</v>
      </c>
      <c r="H64" t="s">
        <v>629</v>
      </c>
      <c r="J64" t="s">
        <v>630</v>
      </c>
      <c r="K64" t="s">
        <v>631</v>
      </c>
    </row>
    <row r="65" spans="1:11" x14ac:dyDescent="0.25">
      <c r="A65" t="s">
        <v>632</v>
      </c>
      <c r="B65" t="s">
        <v>633</v>
      </c>
      <c r="D65" t="s">
        <v>634</v>
      </c>
      <c r="E65" t="s">
        <v>635</v>
      </c>
      <c r="G65" t="s">
        <v>636</v>
      </c>
      <c r="H65" t="s">
        <v>637</v>
      </c>
      <c r="J65" t="s">
        <v>638</v>
      </c>
      <c r="K65" t="s">
        <v>639</v>
      </c>
    </row>
    <row r="66" spans="1:11" x14ac:dyDescent="0.25">
      <c r="A66" t="s">
        <v>640</v>
      </c>
      <c r="B66" t="s">
        <v>641</v>
      </c>
      <c r="D66" t="s">
        <v>642</v>
      </c>
      <c r="E66" t="s">
        <v>643</v>
      </c>
      <c r="G66" t="s">
        <v>644</v>
      </c>
      <c r="H66" t="s">
        <v>645</v>
      </c>
      <c r="J66" t="s">
        <v>646</v>
      </c>
      <c r="K66" t="s">
        <v>647</v>
      </c>
    </row>
    <row r="67" spans="1:11" x14ac:dyDescent="0.25">
      <c r="A67" t="s">
        <v>648</v>
      </c>
      <c r="B67" t="s">
        <v>649</v>
      </c>
      <c r="D67" t="s">
        <v>650</v>
      </c>
      <c r="E67" t="s">
        <v>651</v>
      </c>
      <c r="G67" t="s">
        <v>652</v>
      </c>
      <c r="H67" t="s">
        <v>653</v>
      </c>
      <c r="J67" t="s">
        <v>654</v>
      </c>
      <c r="K67" t="s">
        <v>655</v>
      </c>
    </row>
    <row r="68" spans="1:11" x14ac:dyDescent="0.25">
      <c r="A68" t="s">
        <v>656</v>
      </c>
      <c r="B68" t="s">
        <v>657</v>
      </c>
      <c r="D68" t="s">
        <v>658</v>
      </c>
      <c r="E68" t="s">
        <v>659</v>
      </c>
      <c r="G68" t="s">
        <v>660</v>
      </c>
      <c r="H68" t="s">
        <v>661</v>
      </c>
      <c r="J68" t="s">
        <v>662</v>
      </c>
      <c r="K68" t="s">
        <v>663</v>
      </c>
    </row>
    <row r="69" spans="1:11" x14ac:dyDescent="0.25">
      <c r="A69" t="s">
        <v>664</v>
      </c>
      <c r="B69" t="s">
        <v>665</v>
      </c>
      <c r="D69" t="s">
        <v>666</v>
      </c>
      <c r="E69" t="s">
        <v>667</v>
      </c>
      <c r="G69" t="s">
        <v>668</v>
      </c>
      <c r="H69" t="s">
        <v>669</v>
      </c>
      <c r="J69" t="s">
        <v>670</v>
      </c>
      <c r="K69" t="s">
        <v>671</v>
      </c>
    </row>
    <row r="70" spans="1:11" x14ac:dyDescent="0.25">
      <c r="A70" t="s">
        <v>672</v>
      </c>
      <c r="B70" t="s">
        <v>673</v>
      </c>
      <c r="D70" t="s">
        <v>674</v>
      </c>
      <c r="E70" t="s">
        <v>675</v>
      </c>
      <c r="G70" t="s">
        <v>676</v>
      </c>
      <c r="H70" t="s">
        <v>677</v>
      </c>
      <c r="J70" t="s">
        <v>678</v>
      </c>
      <c r="K70" t="s">
        <v>679</v>
      </c>
    </row>
    <row r="71" spans="1:11" x14ac:dyDescent="0.25">
      <c r="A71" t="s">
        <v>680</v>
      </c>
      <c r="B71" t="s">
        <v>681</v>
      </c>
      <c r="D71" t="s">
        <v>682</v>
      </c>
      <c r="E71" t="s">
        <v>683</v>
      </c>
      <c r="G71" t="s">
        <v>684</v>
      </c>
      <c r="H71" t="s">
        <v>685</v>
      </c>
      <c r="J71" t="s">
        <v>686</v>
      </c>
      <c r="K71" t="s">
        <v>687</v>
      </c>
    </row>
    <row r="72" spans="1:11" x14ac:dyDescent="0.25">
      <c r="A72" t="s">
        <v>688</v>
      </c>
      <c r="B72" t="s">
        <v>689</v>
      </c>
      <c r="D72" t="s">
        <v>690</v>
      </c>
      <c r="E72" t="s">
        <v>691</v>
      </c>
      <c r="G72" t="s">
        <v>692</v>
      </c>
      <c r="H72" t="s">
        <v>693</v>
      </c>
      <c r="J72" t="s">
        <v>694</v>
      </c>
      <c r="K72" t="s">
        <v>695</v>
      </c>
    </row>
    <row r="73" spans="1:11" x14ac:dyDescent="0.25">
      <c r="A73" t="s">
        <v>696</v>
      </c>
      <c r="B73" t="s">
        <v>697</v>
      </c>
      <c r="D73" t="s">
        <v>698</v>
      </c>
      <c r="E73" t="s">
        <v>699</v>
      </c>
      <c r="G73" t="s">
        <v>700</v>
      </c>
      <c r="H73" t="s">
        <v>701</v>
      </c>
      <c r="J73" t="s">
        <v>702</v>
      </c>
      <c r="K73" t="s">
        <v>703</v>
      </c>
    </row>
    <row r="74" spans="1:11" x14ac:dyDescent="0.25">
      <c r="A74" t="s">
        <v>704</v>
      </c>
      <c r="B74" t="s">
        <v>705</v>
      </c>
      <c r="D74" t="s">
        <v>706</v>
      </c>
      <c r="E74" t="s">
        <v>707</v>
      </c>
      <c r="G74" t="s">
        <v>708</v>
      </c>
      <c r="H74" t="s">
        <v>709</v>
      </c>
      <c r="J74" t="s">
        <v>710</v>
      </c>
      <c r="K74" t="s">
        <v>711</v>
      </c>
    </row>
    <row r="75" spans="1:11" x14ac:dyDescent="0.25">
      <c r="A75" t="s">
        <v>712</v>
      </c>
      <c r="B75" t="s">
        <v>713</v>
      </c>
      <c r="D75" t="s">
        <v>714</v>
      </c>
      <c r="E75" t="s">
        <v>715</v>
      </c>
      <c r="G75" t="s">
        <v>716</v>
      </c>
      <c r="H75" t="s">
        <v>717</v>
      </c>
      <c r="J75" t="s">
        <v>718</v>
      </c>
      <c r="K75" t="s">
        <v>719</v>
      </c>
    </row>
    <row r="76" spans="1:11" x14ac:dyDescent="0.25">
      <c r="A76" t="s">
        <v>720</v>
      </c>
      <c r="B76" t="s">
        <v>721</v>
      </c>
      <c r="D76" t="s">
        <v>722</v>
      </c>
      <c r="E76" t="s">
        <v>723</v>
      </c>
      <c r="G76" t="s">
        <v>724</v>
      </c>
      <c r="H76" t="s">
        <v>725</v>
      </c>
      <c r="J76" t="s">
        <v>726</v>
      </c>
      <c r="K76" t="s">
        <v>727</v>
      </c>
    </row>
    <row r="77" spans="1:11" x14ac:dyDescent="0.25">
      <c r="A77" t="s">
        <v>728</v>
      </c>
      <c r="B77" t="s">
        <v>729</v>
      </c>
      <c r="D77" t="s">
        <v>730</v>
      </c>
      <c r="E77" t="s">
        <v>731</v>
      </c>
      <c r="G77" t="s">
        <v>732</v>
      </c>
      <c r="H77" t="s">
        <v>733</v>
      </c>
      <c r="J77" t="s">
        <v>734</v>
      </c>
      <c r="K77" t="s">
        <v>735</v>
      </c>
    </row>
    <row r="78" spans="1:11" x14ac:dyDescent="0.25">
      <c r="A78" t="s">
        <v>736</v>
      </c>
      <c r="B78" t="s">
        <v>737</v>
      </c>
      <c r="D78" t="s">
        <v>738</v>
      </c>
      <c r="E78" t="s">
        <v>739</v>
      </c>
      <c r="G78" t="s">
        <v>740</v>
      </c>
      <c r="H78" t="s">
        <v>741</v>
      </c>
      <c r="J78" t="s">
        <v>742</v>
      </c>
      <c r="K78" t="s">
        <v>743</v>
      </c>
    </row>
    <row r="79" spans="1:11" x14ac:dyDescent="0.25">
      <c r="A79" t="s">
        <v>744</v>
      </c>
      <c r="B79" t="s">
        <v>745</v>
      </c>
      <c r="D79" t="s">
        <v>746</v>
      </c>
      <c r="E79" t="s">
        <v>747</v>
      </c>
      <c r="G79" t="s">
        <v>748</v>
      </c>
      <c r="H79" t="s">
        <v>749</v>
      </c>
      <c r="J79" t="s">
        <v>750</v>
      </c>
      <c r="K79" t="s">
        <v>751</v>
      </c>
    </row>
    <row r="80" spans="1:11" x14ac:dyDescent="0.25">
      <c r="A80" t="s">
        <v>752</v>
      </c>
      <c r="B80" t="s">
        <v>753</v>
      </c>
      <c r="D80" t="s">
        <v>754</v>
      </c>
      <c r="E80" t="s">
        <v>755</v>
      </c>
      <c r="G80" t="s">
        <v>756</v>
      </c>
      <c r="H80" t="s">
        <v>757</v>
      </c>
      <c r="J80" t="s">
        <v>758</v>
      </c>
      <c r="K80" t="s">
        <v>759</v>
      </c>
    </row>
    <row r="81" spans="1:11" x14ac:dyDescent="0.25">
      <c r="A81" t="s">
        <v>760</v>
      </c>
      <c r="B81" t="s">
        <v>761</v>
      </c>
      <c r="D81" t="s">
        <v>762</v>
      </c>
      <c r="E81" t="s">
        <v>763</v>
      </c>
      <c r="G81" t="s">
        <v>764</v>
      </c>
      <c r="H81" t="s">
        <v>765</v>
      </c>
      <c r="J81" t="s">
        <v>766</v>
      </c>
      <c r="K81" t="s">
        <v>767</v>
      </c>
    </row>
    <row r="82" spans="1:11" x14ac:dyDescent="0.25">
      <c r="A82" t="s">
        <v>768</v>
      </c>
      <c r="B82" t="s">
        <v>769</v>
      </c>
      <c r="D82" t="s">
        <v>770</v>
      </c>
      <c r="E82" t="s">
        <v>771</v>
      </c>
      <c r="G82" t="s">
        <v>772</v>
      </c>
      <c r="H82" t="s">
        <v>773</v>
      </c>
      <c r="J82" t="s">
        <v>774</v>
      </c>
      <c r="K82" t="s">
        <v>775</v>
      </c>
    </row>
    <row r="83" spans="1:11" x14ac:dyDescent="0.25">
      <c r="A83" t="s">
        <v>776</v>
      </c>
      <c r="B83" t="s">
        <v>777</v>
      </c>
      <c r="D83" t="s">
        <v>778</v>
      </c>
      <c r="E83" t="s">
        <v>779</v>
      </c>
      <c r="G83" t="s">
        <v>780</v>
      </c>
      <c r="H83" t="s">
        <v>781</v>
      </c>
      <c r="J83" t="s">
        <v>782</v>
      </c>
      <c r="K83" t="s">
        <v>783</v>
      </c>
    </row>
    <row r="84" spans="1:11" x14ac:dyDescent="0.25">
      <c r="A84" t="s">
        <v>784</v>
      </c>
      <c r="B84" t="s">
        <v>785</v>
      </c>
      <c r="D84" t="s">
        <v>786</v>
      </c>
      <c r="E84" t="s">
        <v>787</v>
      </c>
      <c r="G84" t="s">
        <v>788</v>
      </c>
      <c r="H84" t="s">
        <v>789</v>
      </c>
      <c r="J84" t="s">
        <v>790</v>
      </c>
      <c r="K84" t="s">
        <v>791</v>
      </c>
    </row>
    <row r="85" spans="1:11" x14ac:dyDescent="0.25">
      <c r="A85" t="s">
        <v>792</v>
      </c>
      <c r="B85" t="s">
        <v>793</v>
      </c>
      <c r="D85" t="s">
        <v>794</v>
      </c>
      <c r="E85" t="s">
        <v>795</v>
      </c>
      <c r="G85" t="s">
        <v>796</v>
      </c>
      <c r="H85" t="s">
        <v>797</v>
      </c>
      <c r="J85" t="s">
        <v>798</v>
      </c>
      <c r="K85" t="s">
        <v>799</v>
      </c>
    </row>
    <row r="86" spans="1:11" x14ac:dyDescent="0.25">
      <c r="A86" t="s">
        <v>800</v>
      </c>
      <c r="B86" t="s">
        <v>801</v>
      </c>
      <c r="D86" t="s">
        <v>802</v>
      </c>
      <c r="E86" t="s">
        <v>803</v>
      </c>
      <c r="G86" t="s">
        <v>804</v>
      </c>
      <c r="H86" t="s">
        <v>805</v>
      </c>
      <c r="J86" t="s">
        <v>806</v>
      </c>
      <c r="K86" t="s">
        <v>807</v>
      </c>
    </row>
    <row r="87" spans="1:11" x14ac:dyDescent="0.25">
      <c r="A87" t="s">
        <v>808</v>
      </c>
      <c r="B87" t="s">
        <v>809</v>
      </c>
      <c r="D87" t="s">
        <v>810</v>
      </c>
      <c r="E87" t="s">
        <v>811</v>
      </c>
      <c r="G87" t="s">
        <v>812</v>
      </c>
      <c r="H87" t="s">
        <v>813</v>
      </c>
      <c r="J87" t="s">
        <v>814</v>
      </c>
      <c r="K87" t="s">
        <v>815</v>
      </c>
    </row>
    <row r="88" spans="1:11" x14ac:dyDescent="0.25">
      <c r="A88" t="s">
        <v>816</v>
      </c>
      <c r="B88" t="s">
        <v>817</v>
      </c>
      <c r="D88" t="s">
        <v>818</v>
      </c>
      <c r="E88" t="s">
        <v>819</v>
      </c>
      <c r="G88" t="s">
        <v>820</v>
      </c>
      <c r="H88" t="s">
        <v>821</v>
      </c>
      <c r="J88" t="s">
        <v>822</v>
      </c>
      <c r="K88" t="s">
        <v>823</v>
      </c>
    </row>
    <row r="89" spans="1:11" x14ac:dyDescent="0.25">
      <c r="A89" t="s">
        <v>824</v>
      </c>
      <c r="B89" t="s">
        <v>825</v>
      </c>
      <c r="D89" t="s">
        <v>826</v>
      </c>
      <c r="E89" t="s">
        <v>827</v>
      </c>
      <c r="G89" t="s">
        <v>828</v>
      </c>
      <c r="H89" t="s">
        <v>829</v>
      </c>
      <c r="J89" t="s">
        <v>830</v>
      </c>
      <c r="K89" t="s">
        <v>831</v>
      </c>
    </row>
    <row r="90" spans="1:11" x14ac:dyDescent="0.25">
      <c r="A90" t="s">
        <v>832</v>
      </c>
      <c r="B90" t="s">
        <v>833</v>
      </c>
      <c r="D90" t="s">
        <v>834</v>
      </c>
      <c r="E90" t="s">
        <v>835</v>
      </c>
      <c r="G90" t="s">
        <v>836</v>
      </c>
      <c r="H90" t="s">
        <v>837</v>
      </c>
      <c r="J90" t="s">
        <v>838</v>
      </c>
      <c r="K90" t="s">
        <v>839</v>
      </c>
    </row>
    <row r="91" spans="1:11" x14ac:dyDescent="0.25">
      <c r="A91" t="s">
        <v>840</v>
      </c>
      <c r="B91" t="s">
        <v>841</v>
      </c>
      <c r="D91" t="s">
        <v>842</v>
      </c>
      <c r="E91" t="s">
        <v>843</v>
      </c>
      <c r="G91" t="s">
        <v>844</v>
      </c>
      <c r="H91" t="s">
        <v>845</v>
      </c>
      <c r="J91" t="s">
        <v>846</v>
      </c>
      <c r="K91" t="s">
        <v>847</v>
      </c>
    </row>
    <row r="92" spans="1:11" x14ac:dyDescent="0.25">
      <c r="A92" t="s">
        <v>848</v>
      </c>
      <c r="B92" t="s">
        <v>849</v>
      </c>
      <c r="D92" t="s">
        <v>850</v>
      </c>
      <c r="E92" t="s">
        <v>851</v>
      </c>
      <c r="G92" t="s">
        <v>852</v>
      </c>
      <c r="H92" t="s">
        <v>853</v>
      </c>
      <c r="J92" t="s">
        <v>854</v>
      </c>
      <c r="K92" t="s">
        <v>855</v>
      </c>
    </row>
    <row r="93" spans="1:11" x14ac:dyDescent="0.25">
      <c r="A93" t="s">
        <v>856</v>
      </c>
      <c r="B93" t="s">
        <v>857</v>
      </c>
      <c r="D93" t="s">
        <v>858</v>
      </c>
      <c r="E93" t="s">
        <v>859</v>
      </c>
      <c r="G93" t="s">
        <v>860</v>
      </c>
      <c r="H93" t="s">
        <v>861</v>
      </c>
      <c r="J93" t="s">
        <v>862</v>
      </c>
      <c r="K93" t="s">
        <v>863</v>
      </c>
    </row>
    <row r="94" spans="1:11" x14ac:dyDescent="0.25">
      <c r="A94" t="s">
        <v>864</v>
      </c>
      <c r="B94" t="s">
        <v>865</v>
      </c>
      <c r="D94" t="s">
        <v>866</v>
      </c>
      <c r="E94" t="s">
        <v>867</v>
      </c>
      <c r="G94" t="s">
        <v>868</v>
      </c>
      <c r="H94" t="s">
        <v>869</v>
      </c>
      <c r="J94" t="s">
        <v>870</v>
      </c>
      <c r="K94" t="s">
        <v>871</v>
      </c>
    </row>
    <row r="95" spans="1:11" x14ac:dyDescent="0.25">
      <c r="A95" t="s">
        <v>872</v>
      </c>
      <c r="B95" t="s">
        <v>873</v>
      </c>
      <c r="D95" t="s">
        <v>874</v>
      </c>
      <c r="E95" t="s">
        <v>875</v>
      </c>
      <c r="G95" t="s">
        <v>876</v>
      </c>
      <c r="H95" t="s">
        <v>877</v>
      </c>
      <c r="J95" t="s">
        <v>878</v>
      </c>
      <c r="K95" t="s">
        <v>879</v>
      </c>
    </row>
    <row r="96" spans="1:11" x14ac:dyDescent="0.25">
      <c r="A96" t="s">
        <v>880</v>
      </c>
      <c r="B96" t="s">
        <v>881</v>
      </c>
      <c r="D96" t="s">
        <v>882</v>
      </c>
      <c r="E96" t="s">
        <v>883</v>
      </c>
      <c r="G96" t="s">
        <v>884</v>
      </c>
      <c r="H96" t="s">
        <v>885</v>
      </c>
      <c r="J96" t="s">
        <v>886</v>
      </c>
      <c r="K96" t="s">
        <v>887</v>
      </c>
    </row>
    <row r="97" spans="1:11" x14ac:dyDescent="0.25">
      <c r="A97" t="s">
        <v>888</v>
      </c>
      <c r="B97" t="s">
        <v>889</v>
      </c>
      <c r="D97" t="s">
        <v>890</v>
      </c>
      <c r="E97" t="s">
        <v>891</v>
      </c>
      <c r="G97" t="s">
        <v>892</v>
      </c>
      <c r="H97" t="s">
        <v>893</v>
      </c>
      <c r="J97" t="s">
        <v>894</v>
      </c>
      <c r="K97" t="s">
        <v>895</v>
      </c>
    </row>
    <row r="98" spans="1:11" x14ac:dyDescent="0.25">
      <c r="A98" t="s">
        <v>896</v>
      </c>
      <c r="B98" t="s">
        <v>897</v>
      </c>
      <c r="D98" t="s">
        <v>898</v>
      </c>
      <c r="E98" t="s">
        <v>899</v>
      </c>
      <c r="G98" t="s">
        <v>900</v>
      </c>
      <c r="H98" t="s">
        <v>901</v>
      </c>
      <c r="J98" t="s">
        <v>902</v>
      </c>
      <c r="K98" t="s">
        <v>903</v>
      </c>
    </row>
    <row r="99" spans="1:11" x14ac:dyDescent="0.25">
      <c r="A99" t="s">
        <v>904</v>
      </c>
      <c r="B99" t="s">
        <v>905</v>
      </c>
      <c r="D99" t="s">
        <v>906</v>
      </c>
      <c r="E99" t="s">
        <v>907</v>
      </c>
      <c r="G99" t="s">
        <v>908</v>
      </c>
      <c r="H99" t="s">
        <v>909</v>
      </c>
      <c r="J99" t="s">
        <v>910</v>
      </c>
      <c r="K99" t="s">
        <v>911</v>
      </c>
    </row>
    <row r="100" spans="1:11" x14ac:dyDescent="0.25">
      <c r="A100" t="s">
        <v>912</v>
      </c>
      <c r="B100" t="s">
        <v>913</v>
      </c>
      <c r="D100" t="s">
        <v>914</v>
      </c>
      <c r="E100" t="s">
        <v>915</v>
      </c>
      <c r="G100" t="s">
        <v>916</v>
      </c>
      <c r="H100" t="s">
        <v>917</v>
      </c>
      <c r="J100" t="s">
        <v>918</v>
      </c>
      <c r="K100" t="s">
        <v>919</v>
      </c>
    </row>
    <row r="101" spans="1:11" x14ac:dyDescent="0.25">
      <c r="A101" t="s">
        <v>920</v>
      </c>
      <c r="B101" t="s">
        <v>921</v>
      </c>
      <c r="D101" t="s">
        <v>922</v>
      </c>
      <c r="E101" t="s">
        <v>923</v>
      </c>
      <c r="G101" t="s">
        <v>924</v>
      </c>
      <c r="H101" t="s">
        <v>925</v>
      </c>
      <c r="J101" t="s">
        <v>926</v>
      </c>
      <c r="K101" t="s">
        <v>927</v>
      </c>
    </row>
    <row r="102" spans="1:11" x14ac:dyDescent="0.25">
      <c r="A102" t="s">
        <v>928</v>
      </c>
      <c r="B102" t="s">
        <v>929</v>
      </c>
      <c r="D102" t="s">
        <v>930</v>
      </c>
      <c r="E102" t="s">
        <v>931</v>
      </c>
      <c r="G102" t="s">
        <v>932</v>
      </c>
      <c r="H102" t="s">
        <v>933</v>
      </c>
      <c r="J102" t="s">
        <v>934</v>
      </c>
      <c r="K102" t="s">
        <v>935</v>
      </c>
    </row>
    <row r="103" spans="1:11" x14ac:dyDescent="0.25">
      <c r="A103" t="s">
        <v>936</v>
      </c>
      <c r="B103" t="s">
        <v>937</v>
      </c>
      <c r="D103" t="s">
        <v>938</v>
      </c>
      <c r="E103" t="s">
        <v>939</v>
      </c>
      <c r="G103" t="s">
        <v>940</v>
      </c>
      <c r="H103" t="s">
        <v>941</v>
      </c>
      <c r="J103" t="s">
        <v>942</v>
      </c>
      <c r="K103" t="s">
        <v>943</v>
      </c>
    </row>
    <row r="104" spans="1:11" x14ac:dyDescent="0.25">
      <c r="A104" t="s">
        <v>944</v>
      </c>
      <c r="B104" t="s">
        <v>945</v>
      </c>
      <c r="D104" t="s">
        <v>946</v>
      </c>
      <c r="E104" t="s">
        <v>947</v>
      </c>
      <c r="G104" t="s">
        <v>948</v>
      </c>
      <c r="H104" t="s">
        <v>949</v>
      </c>
      <c r="J104" t="s">
        <v>950</v>
      </c>
      <c r="K104" t="s">
        <v>951</v>
      </c>
    </row>
    <row r="105" spans="1:11" x14ac:dyDescent="0.25">
      <c r="A105" t="s">
        <v>952</v>
      </c>
      <c r="B105" t="s">
        <v>953</v>
      </c>
      <c r="D105" t="s">
        <v>954</v>
      </c>
      <c r="E105" t="s">
        <v>955</v>
      </c>
      <c r="G105" t="s">
        <v>956</v>
      </c>
      <c r="H105" t="s">
        <v>957</v>
      </c>
      <c r="J105" t="s">
        <v>958</v>
      </c>
      <c r="K105" t="s">
        <v>959</v>
      </c>
    </row>
    <row r="106" spans="1:11" x14ac:dyDescent="0.25">
      <c r="A106" t="s">
        <v>960</v>
      </c>
      <c r="B106" t="s">
        <v>961</v>
      </c>
      <c r="D106" t="s">
        <v>962</v>
      </c>
      <c r="E106" t="s">
        <v>963</v>
      </c>
      <c r="G106" t="s">
        <v>964</v>
      </c>
      <c r="H106" t="s">
        <v>965</v>
      </c>
      <c r="J106" t="s">
        <v>966</v>
      </c>
      <c r="K106" t="s">
        <v>967</v>
      </c>
    </row>
    <row r="107" spans="1:11" x14ac:dyDescent="0.25">
      <c r="A107" t="s">
        <v>968</v>
      </c>
      <c r="B107" t="s">
        <v>969</v>
      </c>
      <c r="D107" t="s">
        <v>970</v>
      </c>
      <c r="E107" t="s">
        <v>971</v>
      </c>
      <c r="G107" t="s">
        <v>972</v>
      </c>
      <c r="H107" t="s">
        <v>973</v>
      </c>
      <c r="J107" t="s">
        <v>974</v>
      </c>
      <c r="K107" t="s">
        <v>975</v>
      </c>
    </row>
    <row r="108" spans="1:11" x14ac:dyDescent="0.25">
      <c r="A108" t="s">
        <v>976</v>
      </c>
      <c r="B108" t="s">
        <v>977</v>
      </c>
      <c r="D108" t="s">
        <v>978</v>
      </c>
      <c r="E108" t="s">
        <v>979</v>
      </c>
      <c r="G108" t="s">
        <v>980</v>
      </c>
      <c r="H108" t="s">
        <v>981</v>
      </c>
      <c r="J108" t="s">
        <v>982</v>
      </c>
      <c r="K108" t="s">
        <v>983</v>
      </c>
    </row>
    <row r="109" spans="1:11" x14ac:dyDescent="0.25">
      <c r="A109" t="s">
        <v>984</v>
      </c>
      <c r="B109" t="s">
        <v>985</v>
      </c>
      <c r="D109" t="s">
        <v>986</v>
      </c>
      <c r="E109" t="s">
        <v>987</v>
      </c>
      <c r="G109" t="s">
        <v>988</v>
      </c>
      <c r="H109" t="s">
        <v>989</v>
      </c>
      <c r="J109" t="s">
        <v>990</v>
      </c>
      <c r="K109" t="s">
        <v>991</v>
      </c>
    </row>
    <row r="110" spans="1:11" x14ac:dyDescent="0.25">
      <c r="A110" t="s">
        <v>992</v>
      </c>
      <c r="B110" t="s">
        <v>993</v>
      </c>
      <c r="D110" t="s">
        <v>994</v>
      </c>
      <c r="E110" t="s">
        <v>995</v>
      </c>
      <c r="G110" t="s">
        <v>996</v>
      </c>
      <c r="H110" t="s">
        <v>997</v>
      </c>
      <c r="J110" t="s">
        <v>998</v>
      </c>
      <c r="K110" t="s">
        <v>999</v>
      </c>
    </row>
    <row r="111" spans="1:11" x14ac:dyDescent="0.25">
      <c r="A111" t="s">
        <v>1000</v>
      </c>
      <c r="B111" t="s">
        <v>1001</v>
      </c>
      <c r="D111" t="s">
        <v>1002</v>
      </c>
      <c r="E111" t="s">
        <v>1003</v>
      </c>
      <c r="G111" t="s">
        <v>1004</v>
      </c>
      <c r="H111" t="s">
        <v>1005</v>
      </c>
      <c r="J111" t="s">
        <v>1006</v>
      </c>
      <c r="K111" t="s">
        <v>1007</v>
      </c>
    </row>
    <row r="112" spans="1:11" x14ac:dyDescent="0.25">
      <c r="A112" t="s">
        <v>1008</v>
      </c>
      <c r="B112" t="s">
        <v>1009</v>
      </c>
      <c r="D112" t="s">
        <v>1010</v>
      </c>
      <c r="E112" t="s">
        <v>1011</v>
      </c>
      <c r="G112" t="s">
        <v>1012</v>
      </c>
      <c r="H112" t="s">
        <v>1013</v>
      </c>
      <c r="J112" t="s">
        <v>1014</v>
      </c>
      <c r="K112" t="s">
        <v>1015</v>
      </c>
    </row>
    <row r="113" spans="1:11" x14ac:dyDescent="0.25">
      <c r="A113" t="s">
        <v>1016</v>
      </c>
      <c r="B113" t="s">
        <v>1017</v>
      </c>
      <c r="D113" t="s">
        <v>1018</v>
      </c>
      <c r="E113" t="s">
        <v>1019</v>
      </c>
      <c r="G113" t="s">
        <v>1020</v>
      </c>
      <c r="H113" t="s">
        <v>1021</v>
      </c>
      <c r="J113" t="s">
        <v>1022</v>
      </c>
      <c r="K113" t="s">
        <v>1023</v>
      </c>
    </row>
    <row r="114" spans="1:11" x14ac:dyDescent="0.25">
      <c r="A114" t="s">
        <v>1024</v>
      </c>
      <c r="B114" t="s">
        <v>1025</v>
      </c>
      <c r="D114" t="s">
        <v>1026</v>
      </c>
      <c r="E114" t="s">
        <v>1027</v>
      </c>
      <c r="G114" t="s">
        <v>1028</v>
      </c>
      <c r="H114" t="s">
        <v>1029</v>
      </c>
      <c r="J114" t="s">
        <v>1030</v>
      </c>
      <c r="K114" t="s">
        <v>1031</v>
      </c>
    </row>
    <row r="115" spans="1:11" x14ac:dyDescent="0.25">
      <c r="A115" t="s">
        <v>1032</v>
      </c>
      <c r="B115" t="s">
        <v>1033</v>
      </c>
      <c r="D115" t="s">
        <v>1034</v>
      </c>
      <c r="E115" t="s">
        <v>1035</v>
      </c>
      <c r="G115" t="s">
        <v>1036</v>
      </c>
      <c r="H115" t="s">
        <v>1037</v>
      </c>
      <c r="J115" t="s">
        <v>1038</v>
      </c>
      <c r="K115" t="s">
        <v>1039</v>
      </c>
    </row>
    <row r="116" spans="1:11" x14ac:dyDescent="0.25">
      <c r="A116" t="s">
        <v>1040</v>
      </c>
      <c r="B116" t="s">
        <v>1041</v>
      </c>
      <c r="D116" t="s">
        <v>1042</v>
      </c>
      <c r="E116" t="s">
        <v>1043</v>
      </c>
      <c r="G116" t="s">
        <v>1044</v>
      </c>
      <c r="H116" t="s">
        <v>1045</v>
      </c>
      <c r="J116" t="s">
        <v>1046</v>
      </c>
      <c r="K116" t="s">
        <v>1047</v>
      </c>
    </row>
    <row r="117" spans="1:11" x14ac:dyDescent="0.25">
      <c r="A117" t="s">
        <v>1048</v>
      </c>
      <c r="B117" t="s">
        <v>1049</v>
      </c>
      <c r="D117" t="s">
        <v>1050</v>
      </c>
      <c r="E117" t="s">
        <v>1051</v>
      </c>
      <c r="G117" t="s">
        <v>1052</v>
      </c>
      <c r="H117" t="s">
        <v>1053</v>
      </c>
      <c r="J117" t="s">
        <v>1054</v>
      </c>
      <c r="K117" t="s">
        <v>1055</v>
      </c>
    </row>
    <row r="118" spans="1:11" x14ac:dyDescent="0.25">
      <c r="A118" t="s">
        <v>1056</v>
      </c>
      <c r="B118" t="s">
        <v>1057</v>
      </c>
      <c r="D118" t="s">
        <v>1058</v>
      </c>
      <c r="E118" t="s">
        <v>1059</v>
      </c>
      <c r="G118" t="s">
        <v>1060</v>
      </c>
      <c r="H118" t="s">
        <v>1061</v>
      </c>
      <c r="J118" t="s">
        <v>1062</v>
      </c>
      <c r="K118" t="s">
        <v>1063</v>
      </c>
    </row>
    <row r="119" spans="1:11" x14ac:dyDescent="0.25">
      <c r="A119" t="s">
        <v>1064</v>
      </c>
      <c r="B119" t="s">
        <v>1065</v>
      </c>
      <c r="D119" t="s">
        <v>1066</v>
      </c>
      <c r="E119" t="s">
        <v>1067</v>
      </c>
      <c r="G119" t="s">
        <v>1068</v>
      </c>
      <c r="H119" t="s">
        <v>1069</v>
      </c>
      <c r="J119" t="s">
        <v>1070</v>
      </c>
      <c r="K119" t="s">
        <v>1071</v>
      </c>
    </row>
    <row r="120" spans="1:11" x14ac:dyDescent="0.25">
      <c r="A120" t="s">
        <v>1072</v>
      </c>
      <c r="B120" t="s">
        <v>1073</v>
      </c>
      <c r="D120" t="s">
        <v>1074</v>
      </c>
      <c r="E120" t="s">
        <v>1075</v>
      </c>
      <c r="G120" t="s">
        <v>1076</v>
      </c>
      <c r="H120" t="s">
        <v>1077</v>
      </c>
      <c r="J120" t="s">
        <v>1078</v>
      </c>
      <c r="K120" t="s">
        <v>1079</v>
      </c>
    </row>
    <row r="121" spans="1:11" x14ac:dyDescent="0.25">
      <c r="A121" t="s">
        <v>1080</v>
      </c>
      <c r="B121" t="s">
        <v>1081</v>
      </c>
      <c r="D121" t="s">
        <v>1082</v>
      </c>
      <c r="E121" t="s">
        <v>1083</v>
      </c>
      <c r="G121" t="s">
        <v>1084</v>
      </c>
      <c r="H121" t="s">
        <v>1085</v>
      </c>
      <c r="J121" t="s">
        <v>1086</v>
      </c>
      <c r="K121" t="s">
        <v>1087</v>
      </c>
    </row>
    <row r="122" spans="1:11" x14ac:dyDescent="0.25">
      <c r="A122" t="s">
        <v>1088</v>
      </c>
      <c r="B122" t="s">
        <v>1089</v>
      </c>
      <c r="D122" t="s">
        <v>1090</v>
      </c>
      <c r="E122" t="s">
        <v>1091</v>
      </c>
      <c r="G122" t="s">
        <v>1092</v>
      </c>
      <c r="H122" t="s">
        <v>1093</v>
      </c>
      <c r="J122" t="s">
        <v>1094</v>
      </c>
      <c r="K122" t="s">
        <v>1095</v>
      </c>
    </row>
    <row r="123" spans="1:11" x14ac:dyDescent="0.25">
      <c r="A123" t="s">
        <v>1096</v>
      </c>
      <c r="B123" t="s">
        <v>1097</v>
      </c>
      <c r="D123" t="s">
        <v>1098</v>
      </c>
      <c r="E123" t="s">
        <v>1099</v>
      </c>
      <c r="G123" t="s">
        <v>1100</v>
      </c>
      <c r="H123" t="s">
        <v>1101</v>
      </c>
      <c r="J123" t="s">
        <v>1102</v>
      </c>
      <c r="K123" t="s">
        <v>1103</v>
      </c>
    </row>
    <row r="124" spans="1:11" x14ac:dyDescent="0.25">
      <c r="A124" t="s">
        <v>1104</v>
      </c>
      <c r="B124" t="s">
        <v>1105</v>
      </c>
      <c r="D124" t="s">
        <v>1106</v>
      </c>
      <c r="E124" t="s">
        <v>1107</v>
      </c>
      <c r="G124" t="s">
        <v>1108</v>
      </c>
      <c r="H124" t="s">
        <v>1109</v>
      </c>
      <c r="J124" t="s">
        <v>1110</v>
      </c>
      <c r="K124" t="s">
        <v>1111</v>
      </c>
    </row>
    <row r="125" spans="1:11" x14ac:dyDescent="0.25">
      <c r="A125" t="s">
        <v>1112</v>
      </c>
      <c r="B125" t="s">
        <v>1113</v>
      </c>
      <c r="D125" t="s">
        <v>1114</v>
      </c>
      <c r="E125" t="s">
        <v>1115</v>
      </c>
      <c r="G125" t="s">
        <v>1116</v>
      </c>
      <c r="H125" t="s">
        <v>1117</v>
      </c>
      <c r="J125" t="s">
        <v>1118</v>
      </c>
      <c r="K125" t="s">
        <v>1119</v>
      </c>
    </row>
    <row r="126" spans="1:11" x14ac:dyDescent="0.25">
      <c r="A126" t="s">
        <v>1120</v>
      </c>
      <c r="B126" t="s">
        <v>1121</v>
      </c>
      <c r="D126" t="s">
        <v>1122</v>
      </c>
      <c r="E126" t="s">
        <v>1123</v>
      </c>
      <c r="G126" t="s">
        <v>1124</v>
      </c>
      <c r="H126" t="s">
        <v>1125</v>
      </c>
      <c r="J126" t="s">
        <v>1126</v>
      </c>
      <c r="K126" t="s">
        <v>1127</v>
      </c>
    </row>
    <row r="127" spans="1:11" x14ac:dyDescent="0.25">
      <c r="A127" t="s">
        <v>1128</v>
      </c>
      <c r="B127" t="s">
        <v>1129</v>
      </c>
      <c r="D127" t="s">
        <v>1130</v>
      </c>
      <c r="E127" t="s">
        <v>1131</v>
      </c>
      <c r="G127" t="s">
        <v>1132</v>
      </c>
      <c r="H127" t="s">
        <v>1133</v>
      </c>
      <c r="J127" t="s">
        <v>1134</v>
      </c>
      <c r="K127" t="s">
        <v>1135</v>
      </c>
    </row>
    <row r="128" spans="1:11" x14ac:dyDescent="0.25">
      <c r="A128" t="s">
        <v>1136</v>
      </c>
      <c r="B128" t="s">
        <v>1137</v>
      </c>
      <c r="D128" t="s">
        <v>1138</v>
      </c>
      <c r="E128" t="s">
        <v>1139</v>
      </c>
      <c r="G128" t="s">
        <v>1140</v>
      </c>
      <c r="H128" t="s">
        <v>1141</v>
      </c>
      <c r="J128" t="s">
        <v>1142</v>
      </c>
      <c r="K128" t="s">
        <v>1143</v>
      </c>
    </row>
    <row r="129" spans="1:11" x14ac:dyDescent="0.25">
      <c r="A129" t="s">
        <v>1144</v>
      </c>
      <c r="B129" t="s">
        <v>1145</v>
      </c>
      <c r="D129" t="s">
        <v>1146</v>
      </c>
      <c r="E129" t="s">
        <v>1147</v>
      </c>
      <c r="G129" t="s">
        <v>1148</v>
      </c>
      <c r="H129" t="s">
        <v>1149</v>
      </c>
      <c r="J129" t="s">
        <v>1150</v>
      </c>
      <c r="K129" t="s">
        <v>1151</v>
      </c>
    </row>
    <row r="130" spans="1:11" x14ac:dyDescent="0.25">
      <c r="A130" t="s">
        <v>1152</v>
      </c>
      <c r="B130" t="s">
        <v>1153</v>
      </c>
      <c r="D130" t="s">
        <v>1154</v>
      </c>
      <c r="E130" t="s">
        <v>1155</v>
      </c>
      <c r="G130" t="s">
        <v>1156</v>
      </c>
      <c r="H130" t="s">
        <v>1157</v>
      </c>
      <c r="J130" t="s">
        <v>1158</v>
      </c>
      <c r="K130" t="s">
        <v>1159</v>
      </c>
    </row>
    <row r="131" spans="1:11" x14ac:dyDescent="0.25">
      <c r="A131" t="s">
        <v>1160</v>
      </c>
      <c r="B131" t="s">
        <v>1161</v>
      </c>
      <c r="D131" t="s">
        <v>1162</v>
      </c>
      <c r="E131" t="s">
        <v>1163</v>
      </c>
      <c r="G131" t="s">
        <v>1164</v>
      </c>
      <c r="H131" t="s">
        <v>1165</v>
      </c>
      <c r="J131" t="s">
        <v>1166</v>
      </c>
      <c r="K131" t="s">
        <v>1167</v>
      </c>
    </row>
    <row r="132" spans="1:11" x14ac:dyDescent="0.25">
      <c r="A132" t="s">
        <v>1168</v>
      </c>
      <c r="B132" t="s">
        <v>1169</v>
      </c>
      <c r="D132" t="s">
        <v>1170</v>
      </c>
      <c r="E132" t="s">
        <v>1171</v>
      </c>
      <c r="G132" t="s">
        <v>1172</v>
      </c>
      <c r="H132" t="s">
        <v>1173</v>
      </c>
      <c r="J132" t="s">
        <v>1174</v>
      </c>
      <c r="K132" t="s">
        <v>1175</v>
      </c>
    </row>
    <row r="133" spans="1:11" x14ac:dyDescent="0.25">
      <c r="A133" t="s">
        <v>1176</v>
      </c>
      <c r="B133" t="s">
        <v>1177</v>
      </c>
      <c r="D133" t="s">
        <v>1178</v>
      </c>
      <c r="E133" t="s">
        <v>1179</v>
      </c>
      <c r="G133" t="s">
        <v>1180</v>
      </c>
      <c r="H133" t="s">
        <v>1181</v>
      </c>
      <c r="J133" t="s">
        <v>1182</v>
      </c>
      <c r="K133" t="s">
        <v>1183</v>
      </c>
    </row>
    <row r="134" spans="1:11" x14ac:dyDescent="0.25">
      <c r="A134" t="s">
        <v>1184</v>
      </c>
      <c r="B134" t="s">
        <v>1185</v>
      </c>
      <c r="D134" t="s">
        <v>1186</v>
      </c>
      <c r="E134" t="s">
        <v>1187</v>
      </c>
      <c r="G134" t="s">
        <v>1188</v>
      </c>
      <c r="H134" t="s">
        <v>1189</v>
      </c>
      <c r="J134" t="s">
        <v>1190</v>
      </c>
      <c r="K134" t="s">
        <v>1191</v>
      </c>
    </row>
    <row r="135" spans="1:11" x14ac:dyDescent="0.25">
      <c r="A135" t="s">
        <v>1192</v>
      </c>
      <c r="B135" t="s">
        <v>1193</v>
      </c>
      <c r="D135" t="s">
        <v>1194</v>
      </c>
      <c r="E135" t="s">
        <v>1195</v>
      </c>
      <c r="G135" t="s">
        <v>1196</v>
      </c>
      <c r="H135" t="s">
        <v>1197</v>
      </c>
      <c r="J135" t="s">
        <v>1198</v>
      </c>
      <c r="K135" t="s">
        <v>1199</v>
      </c>
    </row>
    <row r="136" spans="1:11" x14ac:dyDescent="0.25">
      <c r="A136" t="s">
        <v>1200</v>
      </c>
      <c r="B136" t="s">
        <v>1201</v>
      </c>
      <c r="D136" t="s">
        <v>1202</v>
      </c>
      <c r="E136" t="s">
        <v>1203</v>
      </c>
      <c r="G136" t="s">
        <v>1204</v>
      </c>
      <c r="H136" t="s">
        <v>1205</v>
      </c>
      <c r="J136" t="s">
        <v>1206</v>
      </c>
      <c r="K136" t="s">
        <v>1207</v>
      </c>
    </row>
    <row r="137" spans="1:11" x14ac:dyDescent="0.25">
      <c r="A137" t="s">
        <v>1208</v>
      </c>
      <c r="B137" t="s">
        <v>1209</v>
      </c>
      <c r="D137" t="s">
        <v>1210</v>
      </c>
      <c r="E137" t="s">
        <v>1211</v>
      </c>
      <c r="G137" t="s">
        <v>1212</v>
      </c>
      <c r="H137" t="s">
        <v>1213</v>
      </c>
      <c r="J137" t="s">
        <v>1214</v>
      </c>
      <c r="K137" t="s">
        <v>1215</v>
      </c>
    </row>
    <row r="138" spans="1:11" x14ac:dyDescent="0.25">
      <c r="A138" t="s">
        <v>1216</v>
      </c>
      <c r="B138" t="s">
        <v>1217</v>
      </c>
      <c r="D138" t="s">
        <v>1218</v>
      </c>
      <c r="E138" t="s">
        <v>1219</v>
      </c>
      <c r="G138" t="s">
        <v>1220</v>
      </c>
      <c r="H138" t="s">
        <v>1221</v>
      </c>
      <c r="J138" t="s">
        <v>1222</v>
      </c>
      <c r="K138" t="s">
        <v>1223</v>
      </c>
    </row>
    <row r="139" spans="1:11" x14ac:dyDescent="0.25">
      <c r="A139" t="s">
        <v>1224</v>
      </c>
      <c r="B139" t="s">
        <v>1225</v>
      </c>
      <c r="D139" t="s">
        <v>1226</v>
      </c>
      <c r="E139" t="s">
        <v>1227</v>
      </c>
      <c r="G139" t="s">
        <v>1228</v>
      </c>
      <c r="H139" t="s">
        <v>1229</v>
      </c>
      <c r="J139" t="s">
        <v>1230</v>
      </c>
      <c r="K139" t="s">
        <v>1231</v>
      </c>
    </row>
    <row r="140" spans="1:11" x14ac:dyDescent="0.25">
      <c r="A140" t="s">
        <v>1232</v>
      </c>
      <c r="B140" t="s">
        <v>1233</v>
      </c>
      <c r="D140" t="s">
        <v>1234</v>
      </c>
      <c r="E140" t="s">
        <v>1235</v>
      </c>
      <c r="G140" t="s">
        <v>1236</v>
      </c>
      <c r="H140" t="s">
        <v>1237</v>
      </c>
      <c r="J140" t="s">
        <v>1238</v>
      </c>
      <c r="K140" t="s">
        <v>1239</v>
      </c>
    </row>
    <row r="141" spans="1:11" x14ac:dyDescent="0.25">
      <c r="A141" t="s">
        <v>1240</v>
      </c>
      <c r="B141" t="s">
        <v>1241</v>
      </c>
      <c r="D141" t="s">
        <v>1242</v>
      </c>
      <c r="E141" t="s">
        <v>1243</v>
      </c>
      <c r="G141" t="s">
        <v>1244</v>
      </c>
      <c r="H141" t="s">
        <v>1245</v>
      </c>
      <c r="J141" t="s">
        <v>1246</v>
      </c>
      <c r="K141" t="s">
        <v>1247</v>
      </c>
    </row>
    <row r="142" spans="1:11" x14ac:dyDescent="0.25">
      <c r="A142" t="s">
        <v>1248</v>
      </c>
      <c r="B142" t="s">
        <v>1249</v>
      </c>
      <c r="D142" t="s">
        <v>1250</v>
      </c>
      <c r="E142" t="s">
        <v>1251</v>
      </c>
      <c r="G142" t="s">
        <v>1252</v>
      </c>
      <c r="H142" t="s">
        <v>1253</v>
      </c>
      <c r="J142" t="s">
        <v>1254</v>
      </c>
      <c r="K142" t="s">
        <v>1255</v>
      </c>
    </row>
    <row r="143" spans="1:11" x14ac:dyDescent="0.25">
      <c r="A143" t="s">
        <v>1256</v>
      </c>
      <c r="B143" t="s">
        <v>1257</v>
      </c>
      <c r="D143" t="s">
        <v>1258</v>
      </c>
      <c r="E143" t="s">
        <v>1259</v>
      </c>
      <c r="G143" t="s">
        <v>1260</v>
      </c>
      <c r="H143" t="s">
        <v>1261</v>
      </c>
      <c r="J143" t="s">
        <v>1262</v>
      </c>
      <c r="K143" t="s">
        <v>1263</v>
      </c>
    </row>
    <row r="144" spans="1:11" x14ac:dyDescent="0.25">
      <c r="A144" t="s">
        <v>1264</v>
      </c>
      <c r="B144" t="s">
        <v>1265</v>
      </c>
      <c r="D144" t="s">
        <v>1266</v>
      </c>
      <c r="E144" t="s">
        <v>1267</v>
      </c>
      <c r="G144" t="s">
        <v>1268</v>
      </c>
      <c r="H144" t="s">
        <v>1269</v>
      </c>
      <c r="J144" t="s">
        <v>1270</v>
      </c>
      <c r="K144" t="s">
        <v>1271</v>
      </c>
    </row>
    <row r="145" spans="1:11" x14ac:dyDescent="0.25">
      <c r="A145" t="s">
        <v>1272</v>
      </c>
      <c r="B145" t="s">
        <v>1273</v>
      </c>
      <c r="D145" t="s">
        <v>1274</v>
      </c>
      <c r="E145" t="s">
        <v>1275</v>
      </c>
      <c r="G145" t="s">
        <v>1276</v>
      </c>
      <c r="H145" t="s">
        <v>1277</v>
      </c>
      <c r="J145" t="s">
        <v>1278</v>
      </c>
      <c r="K145" t="s">
        <v>1279</v>
      </c>
    </row>
    <row r="146" spans="1:11" x14ac:dyDescent="0.25">
      <c r="A146" t="s">
        <v>1280</v>
      </c>
      <c r="B146" t="s">
        <v>1281</v>
      </c>
      <c r="D146" t="s">
        <v>1282</v>
      </c>
      <c r="E146" t="s">
        <v>1283</v>
      </c>
      <c r="G146" t="s">
        <v>1284</v>
      </c>
      <c r="H146" t="s">
        <v>1285</v>
      </c>
      <c r="J146" t="s">
        <v>1286</v>
      </c>
      <c r="K146" t="s">
        <v>1287</v>
      </c>
    </row>
    <row r="147" spans="1:11" x14ac:dyDescent="0.25">
      <c r="A147" t="s">
        <v>1288</v>
      </c>
      <c r="B147" t="s">
        <v>1289</v>
      </c>
      <c r="D147" t="s">
        <v>1290</v>
      </c>
      <c r="E147" t="s">
        <v>1291</v>
      </c>
      <c r="G147" t="s">
        <v>1292</v>
      </c>
      <c r="H147" t="s">
        <v>1293</v>
      </c>
      <c r="J147" t="s">
        <v>1294</v>
      </c>
      <c r="K147" t="s">
        <v>1295</v>
      </c>
    </row>
    <row r="148" spans="1:11" x14ac:dyDescent="0.25">
      <c r="A148" t="s">
        <v>1296</v>
      </c>
      <c r="B148" t="s">
        <v>1297</v>
      </c>
      <c r="D148" t="s">
        <v>1298</v>
      </c>
      <c r="E148" t="s">
        <v>1299</v>
      </c>
      <c r="G148" t="s">
        <v>1300</v>
      </c>
      <c r="H148" t="s">
        <v>1301</v>
      </c>
      <c r="J148" t="s">
        <v>1302</v>
      </c>
      <c r="K148" t="s">
        <v>1303</v>
      </c>
    </row>
    <row r="149" spans="1:11" x14ac:dyDescent="0.25">
      <c r="A149" t="s">
        <v>1304</v>
      </c>
      <c r="B149" t="s">
        <v>1305</v>
      </c>
      <c r="D149" t="s">
        <v>1306</v>
      </c>
      <c r="E149" t="s">
        <v>1307</v>
      </c>
      <c r="G149" t="s">
        <v>1308</v>
      </c>
      <c r="H149" t="s">
        <v>1309</v>
      </c>
      <c r="J149" t="s">
        <v>1310</v>
      </c>
      <c r="K149" t="s">
        <v>1311</v>
      </c>
    </row>
    <row r="150" spans="1:11" x14ac:dyDescent="0.25">
      <c r="A150" t="s">
        <v>1312</v>
      </c>
      <c r="B150" t="s">
        <v>1313</v>
      </c>
      <c r="D150" t="s">
        <v>1314</v>
      </c>
      <c r="E150" t="s">
        <v>1315</v>
      </c>
      <c r="G150" t="s">
        <v>1316</v>
      </c>
      <c r="H150" t="s">
        <v>1317</v>
      </c>
      <c r="J150" t="s">
        <v>1318</v>
      </c>
      <c r="K150" t="s">
        <v>1319</v>
      </c>
    </row>
    <row r="151" spans="1:11" x14ac:dyDescent="0.25">
      <c r="A151" t="s">
        <v>1320</v>
      </c>
      <c r="B151" t="s">
        <v>1321</v>
      </c>
      <c r="D151" t="s">
        <v>1322</v>
      </c>
      <c r="E151" t="s">
        <v>1323</v>
      </c>
      <c r="G151" t="s">
        <v>1324</v>
      </c>
      <c r="H151" t="s">
        <v>1325</v>
      </c>
      <c r="J151" t="s">
        <v>1326</v>
      </c>
      <c r="K151" t="s">
        <v>1327</v>
      </c>
    </row>
    <row r="152" spans="1:11" x14ac:dyDescent="0.25">
      <c r="A152" t="s">
        <v>1328</v>
      </c>
      <c r="B152" t="s">
        <v>1329</v>
      </c>
      <c r="D152" t="s">
        <v>1330</v>
      </c>
      <c r="E152" t="s">
        <v>1331</v>
      </c>
      <c r="G152" t="s">
        <v>1332</v>
      </c>
      <c r="H152" t="s">
        <v>1333</v>
      </c>
      <c r="J152" t="s">
        <v>1334</v>
      </c>
      <c r="K152" t="s">
        <v>1335</v>
      </c>
    </row>
    <row r="153" spans="1:11" x14ac:dyDescent="0.25">
      <c r="A153" t="s">
        <v>1336</v>
      </c>
      <c r="B153" t="s">
        <v>1337</v>
      </c>
      <c r="D153" t="s">
        <v>1338</v>
      </c>
      <c r="E153" t="s">
        <v>1339</v>
      </c>
      <c r="G153" t="s">
        <v>1340</v>
      </c>
      <c r="H153" t="s">
        <v>1341</v>
      </c>
      <c r="J153" t="s">
        <v>1342</v>
      </c>
      <c r="K153" t="s">
        <v>1343</v>
      </c>
    </row>
    <row r="154" spans="1:11" x14ac:dyDescent="0.25">
      <c r="A154" t="s">
        <v>1344</v>
      </c>
      <c r="B154" t="s">
        <v>1345</v>
      </c>
      <c r="D154" t="s">
        <v>1346</v>
      </c>
      <c r="E154" t="s">
        <v>1347</v>
      </c>
      <c r="G154" t="s">
        <v>1348</v>
      </c>
      <c r="H154" t="s">
        <v>1349</v>
      </c>
      <c r="J154" t="s">
        <v>1350</v>
      </c>
      <c r="K154" t="s">
        <v>1351</v>
      </c>
    </row>
    <row r="155" spans="1:11" x14ac:dyDescent="0.25">
      <c r="A155" t="s">
        <v>1352</v>
      </c>
      <c r="B155" t="s">
        <v>1353</v>
      </c>
      <c r="D155" t="s">
        <v>1354</v>
      </c>
      <c r="E155" t="s">
        <v>1355</v>
      </c>
      <c r="G155" t="s">
        <v>1356</v>
      </c>
      <c r="H155" t="s">
        <v>1357</v>
      </c>
      <c r="J155" t="s">
        <v>1358</v>
      </c>
      <c r="K155" t="s">
        <v>1359</v>
      </c>
    </row>
    <row r="156" spans="1:11" x14ac:dyDescent="0.25">
      <c r="A156" t="s">
        <v>1360</v>
      </c>
      <c r="B156" t="s">
        <v>1361</v>
      </c>
      <c r="D156" t="s">
        <v>1362</v>
      </c>
      <c r="E156" t="s">
        <v>1363</v>
      </c>
      <c r="G156" t="s">
        <v>1364</v>
      </c>
      <c r="H156" t="s">
        <v>1365</v>
      </c>
      <c r="J156" t="s">
        <v>1366</v>
      </c>
      <c r="K156" t="s">
        <v>1367</v>
      </c>
    </row>
    <row r="157" spans="1:11" x14ac:dyDescent="0.25">
      <c r="A157" t="s">
        <v>1368</v>
      </c>
      <c r="B157" t="s">
        <v>1369</v>
      </c>
      <c r="D157" t="s">
        <v>1370</v>
      </c>
      <c r="E157" t="s">
        <v>1371</v>
      </c>
      <c r="G157" t="s">
        <v>1372</v>
      </c>
      <c r="H157" t="s">
        <v>1373</v>
      </c>
      <c r="J157" t="s">
        <v>1374</v>
      </c>
      <c r="K157" t="s">
        <v>1375</v>
      </c>
    </row>
    <row r="158" spans="1:11" x14ac:dyDescent="0.25">
      <c r="A158" t="s">
        <v>1376</v>
      </c>
      <c r="B158" t="s">
        <v>1377</v>
      </c>
      <c r="D158" t="s">
        <v>1378</v>
      </c>
      <c r="E158" t="s">
        <v>1379</v>
      </c>
      <c r="G158" t="s">
        <v>1380</v>
      </c>
      <c r="H158" t="s">
        <v>1381</v>
      </c>
      <c r="J158" t="s">
        <v>1382</v>
      </c>
      <c r="K158" t="s">
        <v>1383</v>
      </c>
    </row>
    <row r="159" spans="1:11" x14ac:dyDescent="0.25">
      <c r="A159" t="s">
        <v>1384</v>
      </c>
      <c r="B159" t="s">
        <v>1385</v>
      </c>
      <c r="D159" t="s">
        <v>1386</v>
      </c>
      <c r="E159" t="s">
        <v>1387</v>
      </c>
      <c r="G159" t="s">
        <v>1388</v>
      </c>
      <c r="H159" t="s">
        <v>1389</v>
      </c>
      <c r="J159" t="s">
        <v>1390</v>
      </c>
      <c r="K159" t="s">
        <v>1391</v>
      </c>
    </row>
    <row r="160" spans="1:11" x14ac:dyDescent="0.25">
      <c r="A160" t="s">
        <v>1392</v>
      </c>
      <c r="B160" t="s">
        <v>1393</v>
      </c>
      <c r="D160" t="s">
        <v>1394</v>
      </c>
      <c r="E160" t="s">
        <v>1395</v>
      </c>
      <c r="G160" t="s">
        <v>1396</v>
      </c>
      <c r="H160" t="s">
        <v>1397</v>
      </c>
      <c r="J160" t="s">
        <v>1398</v>
      </c>
      <c r="K160" t="s">
        <v>1399</v>
      </c>
    </row>
    <row r="161" spans="1:11" x14ac:dyDescent="0.25">
      <c r="A161" t="s">
        <v>1400</v>
      </c>
      <c r="B161" t="s">
        <v>1401</v>
      </c>
      <c r="D161" t="s">
        <v>1402</v>
      </c>
      <c r="E161" t="s">
        <v>1403</v>
      </c>
      <c r="G161" t="s">
        <v>1404</v>
      </c>
      <c r="H161" t="s">
        <v>1405</v>
      </c>
      <c r="J161" t="s">
        <v>1406</v>
      </c>
      <c r="K161" t="s">
        <v>1407</v>
      </c>
    </row>
    <row r="162" spans="1:11" x14ac:dyDescent="0.25">
      <c r="A162" t="s">
        <v>1408</v>
      </c>
      <c r="B162" t="s">
        <v>1409</v>
      </c>
      <c r="D162" t="s">
        <v>1410</v>
      </c>
      <c r="E162" t="s">
        <v>1411</v>
      </c>
      <c r="G162" t="s">
        <v>1412</v>
      </c>
      <c r="H162" t="s">
        <v>1413</v>
      </c>
      <c r="J162" t="s">
        <v>1414</v>
      </c>
      <c r="K162" t="s">
        <v>1415</v>
      </c>
    </row>
    <row r="163" spans="1:11" x14ac:dyDescent="0.25">
      <c r="A163" t="s">
        <v>1416</v>
      </c>
      <c r="B163" t="s">
        <v>1417</v>
      </c>
      <c r="D163" t="s">
        <v>1418</v>
      </c>
      <c r="E163" t="s">
        <v>1419</v>
      </c>
      <c r="G163" t="s">
        <v>1420</v>
      </c>
      <c r="H163" t="s">
        <v>1421</v>
      </c>
      <c r="J163" t="s">
        <v>1422</v>
      </c>
      <c r="K163" t="s">
        <v>1423</v>
      </c>
    </row>
    <row r="164" spans="1:11" x14ac:dyDescent="0.25">
      <c r="A164" t="s">
        <v>1424</v>
      </c>
      <c r="B164" t="s">
        <v>1425</v>
      </c>
      <c r="D164" t="s">
        <v>1426</v>
      </c>
      <c r="E164" t="s">
        <v>1427</v>
      </c>
      <c r="G164" t="s">
        <v>1428</v>
      </c>
      <c r="H164" t="s">
        <v>1429</v>
      </c>
      <c r="J164" t="s">
        <v>1430</v>
      </c>
      <c r="K164" t="s">
        <v>1431</v>
      </c>
    </row>
    <row r="165" spans="1:11" x14ac:dyDescent="0.25">
      <c r="A165" t="s">
        <v>1432</v>
      </c>
      <c r="B165" t="s">
        <v>1433</v>
      </c>
      <c r="D165" t="s">
        <v>1434</v>
      </c>
      <c r="E165" t="s">
        <v>1435</v>
      </c>
      <c r="G165" t="s">
        <v>1436</v>
      </c>
      <c r="H165" t="s">
        <v>1437</v>
      </c>
      <c r="J165" t="s">
        <v>1438</v>
      </c>
      <c r="K165" t="s">
        <v>1439</v>
      </c>
    </row>
    <row r="166" spans="1:11" x14ac:dyDescent="0.25">
      <c r="A166" t="s">
        <v>1440</v>
      </c>
      <c r="B166" t="s">
        <v>1441</v>
      </c>
      <c r="D166" t="s">
        <v>1442</v>
      </c>
      <c r="E166" t="s">
        <v>1443</v>
      </c>
      <c r="G166" t="s">
        <v>1444</v>
      </c>
      <c r="H166" t="s">
        <v>1445</v>
      </c>
      <c r="J166" t="s">
        <v>1446</v>
      </c>
      <c r="K166" t="s">
        <v>1447</v>
      </c>
    </row>
    <row r="167" spans="1:11" x14ac:dyDescent="0.25">
      <c r="A167" t="s">
        <v>1448</v>
      </c>
      <c r="B167" t="s">
        <v>1449</v>
      </c>
      <c r="D167" t="s">
        <v>1450</v>
      </c>
      <c r="E167" t="s">
        <v>1451</v>
      </c>
      <c r="G167" t="s">
        <v>1452</v>
      </c>
      <c r="H167" t="s">
        <v>1453</v>
      </c>
      <c r="J167" t="s">
        <v>1454</v>
      </c>
      <c r="K167" t="s">
        <v>1455</v>
      </c>
    </row>
    <row r="168" spans="1:11" x14ac:dyDescent="0.25">
      <c r="A168" t="s">
        <v>1456</v>
      </c>
      <c r="B168" t="s">
        <v>1457</v>
      </c>
      <c r="D168" t="s">
        <v>1458</v>
      </c>
      <c r="E168" t="s">
        <v>1459</v>
      </c>
      <c r="G168" t="s">
        <v>1460</v>
      </c>
      <c r="H168" t="s">
        <v>1461</v>
      </c>
      <c r="J168" t="s">
        <v>1462</v>
      </c>
      <c r="K168" t="s">
        <v>1463</v>
      </c>
    </row>
    <row r="169" spans="1:11" x14ac:dyDescent="0.25">
      <c r="A169" t="s">
        <v>1464</v>
      </c>
      <c r="B169" t="s">
        <v>1465</v>
      </c>
      <c r="D169" t="s">
        <v>1466</v>
      </c>
      <c r="E169" t="s">
        <v>1467</v>
      </c>
      <c r="G169" t="s">
        <v>1468</v>
      </c>
      <c r="H169" t="s">
        <v>1469</v>
      </c>
      <c r="J169" t="s">
        <v>1470</v>
      </c>
      <c r="K169" t="s">
        <v>1471</v>
      </c>
    </row>
    <row r="170" spans="1:11" x14ac:dyDescent="0.25">
      <c r="A170" t="s">
        <v>1472</v>
      </c>
      <c r="B170" t="s">
        <v>1473</v>
      </c>
      <c r="D170" t="s">
        <v>1474</v>
      </c>
      <c r="E170" t="s">
        <v>1475</v>
      </c>
      <c r="G170" t="s">
        <v>1476</v>
      </c>
      <c r="H170" t="s">
        <v>1477</v>
      </c>
      <c r="J170" t="s">
        <v>1478</v>
      </c>
      <c r="K170" t="s">
        <v>1479</v>
      </c>
    </row>
    <row r="171" spans="1:11" x14ac:dyDescent="0.25">
      <c r="A171" t="s">
        <v>1480</v>
      </c>
      <c r="B171" t="s">
        <v>1481</v>
      </c>
      <c r="D171" t="s">
        <v>1482</v>
      </c>
      <c r="E171" t="s">
        <v>1483</v>
      </c>
      <c r="G171" t="s">
        <v>1484</v>
      </c>
      <c r="H171" t="s">
        <v>1485</v>
      </c>
      <c r="J171" t="s">
        <v>1486</v>
      </c>
      <c r="K171" t="s">
        <v>1487</v>
      </c>
    </row>
    <row r="172" spans="1:11" x14ac:dyDescent="0.25">
      <c r="A172" t="s">
        <v>1488</v>
      </c>
      <c r="B172" t="s">
        <v>1489</v>
      </c>
      <c r="D172" t="s">
        <v>1490</v>
      </c>
      <c r="E172" t="s">
        <v>1491</v>
      </c>
      <c r="G172" t="s">
        <v>1492</v>
      </c>
      <c r="H172" t="s">
        <v>1493</v>
      </c>
      <c r="J172" t="s">
        <v>1494</v>
      </c>
      <c r="K172" t="s">
        <v>1495</v>
      </c>
    </row>
    <row r="173" spans="1:11" x14ac:dyDescent="0.25">
      <c r="A173" t="s">
        <v>1496</v>
      </c>
      <c r="B173" t="s">
        <v>1497</v>
      </c>
      <c r="D173" t="s">
        <v>1498</v>
      </c>
      <c r="E173" t="s">
        <v>1499</v>
      </c>
      <c r="G173" t="s">
        <v>1500</v>
      </c>
      <c r="H173" t="s">
        <v>1501</v>
      </c>
      <c r="J173" t="s">
        <v>1502</v>
      </c>
      <c r="K173" t="s">
        <v>1503</v>
      </c>
    </row>
    <row r="174" spans="1:11" x14ac:dyDescent="0.25">
      <c r="A174" t="s">
        <v>1504</v>
      </c>
      <c r="B174" t="s">
        <v>1505</v>
      </c>
      <c r="D174" t="s">
        <v>1506</v>
      </c>
      <c r="E174" t="s">
        <v>1507</v>
      </c>
      <c r="G174" t="s">
        <v>1508</v>
      </c>
      <c r="H174" t="s">
        <v>1509</v>
      </c>
      <c r="J174" t="s">
        <v>1510</v>
      </c>
      <c r="K174" t="s">
        <v>1511</v>
      </c>
    </row>
    <row r="175" spans="1:11" x14ac:dyDescent="0.25">
      <c r="A175" t="s">
        <v>1512</v>
      </c>
      <c r="B175" t="s">
        <v>1513</v>
      </c>
      <c r="D175" t="s">
        <v>1514</v>
      </c>
      <c r="E175" t="s">
        <v>1515</v>
      </c>
      <c r="G175" t="s">
        <v>1516</v>
      </c>
      <c r="H175" t="s">
        <v>1517</v>
      </c>
      <c r="J175" t="s">
        <v>1518</v>
      </c>
      <c r="K175" t="s">
        <v>1519</v>
      </c>
    </row>
    <row r="176" spans="1:11" x14ac:dyDescent="0.25">
      <c r="A176" t="s">
        <v>1520</v>
      </c>
      <c r="B176" t="s">
        <v>1521</v>
      </c>
      <c r="D176" t="s">
        <v>1522</v>
      </c>
      <c r="E176" t="s">
        <v>1523</v>
      </c>
      <c r="G176" t="s">
        <v>1524</v>
      </c>
      <c r="H176" t="s">
        <v>1525</v>
      </c>
      <c r="J176" t="s">
        <v>1526</v>
      </c>
      <c r="K176" t="s">
        <v>1527</v>
      </c>
    </row>
    <row r="177" spans="1:11" x14ac:dyDescent="0.25">
      <c r="A177" t="s">
        <v>1528</v>
      </c>
      <c r="B177" t="s">
        <v>1529</v>
      </c>
      <c r="D177" t="s">
        <v>1530</v>
      </c>
      <c r="E177" t="s">
        <v>1531</v>
      </c>
      <c r="G177" t="s">
        <v>1532</v>
      </c>
      <c r="H177" t="s">
        <v>1533</v>
      </c>
      <c r="J177" t="s">
        <v>1534</v>
      </c>
      <c r="K177" t="s">
        <v>1535</v>
      </c>
    </row>
    <row r="178" spans="1:11" x14ac:dyDescent="0.25">
      <c r="A178" t="s">
        <v>1536</v>
      </c>
      <c r="B178" t="s">
        <v>1537</v>
      </c>
      <c r="D178" t="s">
        <v>1538</v>
      </c>
      <c r="E178" t="s">
        <v>1539</v>
      </c>
      <c r="G178" t="s">
        <v>1540</v>
      </c>
      <c r="H178" t="s">
        <v>1541</v>
      </c>
      <c r="J178" t="s">
        <v>1542</v>
      </c>
      <c r="K178" t="s">
        <v>1543</v>
      </c>
    </row>
    <row r="179" spans="1:11" x14ac:dyDescent="0.25">
      <c r="A179" t="s">
        <v>1544</v>
      </c>
      <c r="B179" t="s">
        <v>1545</v>
      </c>
      <c r="D179" t="s">
        <v>1546</v>
      </c>
      <c r="E179" t="s">
        <v>1547</v>
      </c>
      <c r="G179" t="s">
        <v>1548</v>
      </c>
      <c r="H179" t="s">
        <v>1549</v>
      </c>
      <c r="J179" t="s">
        <v>1550</v>
      </c>
      <c r="K179" t="s">
        <v>1551</v>
      </c>
    </row>
    <row r="180" spans="1:11" x14ac:dyDescent="0.25">
      <c r="A180" t="s">
        <v>1552</v>
      </c>
      <c r="B180" t="s">
        <v>1553</v>
      </c>
      <c r="D180" t="s">
        <v>1554</v>
      </c>
      <c r="E180" t="s">
        <v>1555</v>
      </c>
      <c r="G180" t="s">
        <v>1556</v>
      </c>
      <c r="H180" t="s">
        <v>1557</v>
      </c>
      <c r="J180" t="s">
        <v>1558</v>
      </c>
      <c r="K180" t="s">
        <v>1559</v>
      </c>
    </row>
    <row r="181" spans="1:11" x14ac:dyDescent="0.25">
      <c r="A181" t="s">
        <v>1560</v>
      </c>
      <c r="B181" t="s">
        <v>1561</v>
      </c>
      <c r="D181" t="s">
        <v>1562</v>
      </c>
      <c r="E181" t="s">
        <v>1563</v>
      </c>
      <c r="G181" t="s">
        <v>1564</v>
      </c>
      <c r="H181" t="s">
        <v>1565</v>
      </c>
      <c r="J181" t="s">
        <v>1566</v>
      </c>
      <c r="K181" t="s">
        <v>1567</v>
      </c>
    </row>
    <row r="182" spans="1:11" x14ac:dyDescent="0.25">
      <c r="A182" t="s">
        <v>1568</v>
      </c>
      <c r="B182" t="s">
        <v>1569</v>
      </c>
      <c r="D182" t="s">
        <v>1570</v>
      </c>
      <c r="E182" t="s">
        <v>1571</v>
      </c>
      <c r="G182" t="s">
        <v>1572</v>
      </c>
      <c r="H182" t="s">
        <v>1573</v>
      </c>
      <c r="J182" t="s">
        <v>1574</v>
      </c>
      <c r="K182" t="s">
        <v>1575</v>
      </c>
    </row>
    <row r="183" spans="1:11" x14ac:dyDescent="0.25">
      <c r="A183" t="s">
        <v>1576</v>
      </c>
      <c r="B183" t="s">
        <v>1577</v>
      </c>
      <c r="D183" t="s">
        <v>1578</v>
      </c>
      <c r="E183" t="s">
        <v>1579</v>
      </c>
      <c r="G183" t="s">
        <v>1580</v>
      </c>
      <c r="H183" t="s">
        <v>1581</v>
      </c>
      <c r="J183" t="s">
        <v>1582</v>
      </c>
      <c r="K183" t="s">
        <v>1583</v>
      </c>
    </row>
    <row r="184" spans="1:11" x14ac:dyDescent="0.25">
      <c r="A184" t="s">
        <v>1584</v>
      </c>
      <c r="B184" t="s">
        <v>1585</v>
      </c>
      <c r="D184" t="s">
        <v>1586</v>
      </c>
      <c r="E184" t="s">
        <v>1587</v>
      </c>
      <c r="G184" t="s">
        <v>1588</v>
      </c>
      <c r="H184" t="s">
        <v>1589</v>
      </c>
      <c r="J184" t="s">
        <v>1590</v>
      </c>
      <c r="K184" t="s">
        <v>1591</v>
      </c>
    </row>
    <row r="185" spans="1:11" x14ac:dyDescent="0.25">
      <c r="A185" t="s">
        <v>1592</v>
      </c>
      <c r="B185" t="s">
        <v>1593</v>
      </c>
      <c r="D185" t="s">
        <v>1594</v>
      </c>
      <c r="E185" t="s">
        <v>1595</v>
      </c>
      <c r="G185" t="s">
        <v>1596</v>
      </c>
      <c r="H185" t="s">
        <v>1597</v>
      </c>
      <c r="J185" t="s">
        <v>1598</v>
      </c>
      <c r="K185" t="s">
        <v>1599</v>
      </c>
    </row>
    <row r="186" spans="1:11" x14ac:dyDescent="0.25">
      <c r="A186" t="s">
        <v>1600</v>
      </c>
      <c r="B186" t="s">
        <v>1601</v>
      </c>
      <c r="D186" t="s">
        <v>1602</v>
      </c>
      <c r="E186" t="s">
        <v>1603</v>
      </c>
      <c r="G186" t="s">
        <v>1604</v>
      </c>
      <c r="H186" t="s">
        <v>1605</v>
      </c>
      <c r="J186" t="s">
        <v>1606</v>
      </c>
      <c r="K186" t="s">
        <v>1607</v>
      </c>
    </row>
    <row r="187" spans="1:11" x14ac:dyDescent="0.25">
      <c r="A187" t="s">
        <v>1608</v>
      </c>
      <c r="B187" t="s">
        <v>1609</v>
      </c>
      <c r="D187" t="s">
        <v>1610</v>
      </c>
      <c r="E187" t="s">
        <v>1611</v>
      </c>
      <c r="G187" t="s">
        <v>1612</v>
      </c>
      <c r="H187" t="s">
        <v>1613</v>
      </c>
      <c r="J187" t="s">
        <v>1614</v>
      </c>
      <c r="K187" t="s">
        <v>1615</v>
      </c>
    </row>
    <row r="188" spans="1:11" x14ac:dyDescent="0.25">
      <c r="A188" t="s">
        <v>1616</v>
      </c>
      <c r="B188" t="s">
        <v>1617</v>
      </c>
      <c r="D188" t="s">
        <v>1618</v>
      </c>
      <c r="E188" t="s">
        <v>1619</v>
      </c>
      <c r="G188" t="s">
        <v>1620</v>
      </c>
      <c r="H188" t="s">
        <v>1621</v>
      </c>
      <c r="J188" t="s">
        <v>1622</v>
      </c>
      <c r="K188" t="s">
        <v>1623</v>
      </c>
    </row>
    <row r="189" spans="1:11" x14ac:dyDescent="0.25">
      <c r="A189" t="s">
        <v>1624</v>
      </c>
      <c r="B189" t="s">
        <v>1625</v>
      </c>
      <c r="D189" t="s">
        <v>1626</v>
      </c>
      <c r="E189" t="s">
        <v>1627</v>
      </c>
      <c r="G189" t="s">
        <v>1628</v>
      </c>
      <c r="H189" t="s">
        <v>1629</v>
      </c>
      <c r="J189" t="s">
        <v>1630</v>
      </c>
      <c r="K189" t="s">
        <v>1631</v>
      </c>
    </row>
    <row r="190" spans="1:11" x14ac:dyDescent="0.25">
      <c r="A190" t="s">
        <v>1632</v>
      </c>
      <c r="B190" t="s">
        <v>1633</v>
      </c>
      <c r="D190" t="s">
        <v>1634</v>
      </c>
      <c r="E190" t="s">
        <v>1635</v>
      </c>
      <c r="G190" t="s">
        <v>1636</v>
      </c>
      <c r="H190" t="s">
        <v>1637</v>
      </c>
      <c r="J190" t="s">
        <v>1638</v>
      </c>
      <c r="K190" t="s">
        <v>1639</v>
      </c>
    </row>
    <row r="191" spans="1:11" x14ac:dyDescent="0.25">
      <c r="A191" t="s">
        <v>1640</v>
      </c>
      <c r="B191" t="s">
        <v>1641</v>
      </c>
      <c r="D191" t="s">
        <v>1642</v>
      </c>
      <c r="E191" t="s">
        <v>1643</v>
      </c>
      <c r="G191" t="s">
        <v>1644</v>
      </c>
      <c r="H191" t="s">
        <v>1645</v>
      </c>
      <c r="J191" t="s">
        <v>1646</v>
      </c>
      <c r="K191" t="s">
        <v>1647</v>
      </c>
    </row>
    <row r="192" spans="1:11" x14ac:dyDescent="0.25">
      <c r="A192" t="s">
        <v>1648</v>
      </c>
      <c r="B192" t="s">
        <v>1649</v>
      </c>
      <c r="D192" t="s">
        <v>1650</v>
      </c>
      <c r="E192" t="s">
        <v>1651</v>
      </c>
      <c r="G192" t="s">
        <v>1652</v>
      </c>
      <c r="H192" t="s">
        <v>1653</v>
      </c>
      <c r="J192" t="s">
        <v>1654</v>
      </c>
      <c r="K192" t="s">
        <v>1655</v>
      </c>
    </row>
    <row r="193" spans="1:11" x14ac:dyDescent="0.25">
      <c r="A193" t="s">
        <v>1656</v>
      </c>
      <c r="B193" t="s">
        <v>1657</v>
      </c>
      <c r="D193" t="s">
        <v>1658</v>
      </c>
      <c r="E193" t="s">
        <v>1659</v>
      </c>
      <c r="J193" t="s">
        <v>1660</v>
      </c>
      <c r="K193" t="s">
        <v>1661</v>
      </c>
    </row>
    <row r="194" spans="1:11" x14ac:dyDescent="0.25">
      <c r="A194" t="s">
        <v>1662</v>
      </c>
      <c r="B194" t="s">
        <v>1663</v>
      </c>
      <c r="D194" t="s">
        <v>1664</v>
      </c>
      <c r="E194" t="s">
        <v>1665</v>
      </c>
      <c r="J194" t="s">
        <v>1666</v>
      </c>
      <c r="K194" t="s">
        <v>1667</v>
      </c>
    </row>
    <row r="195" spans="1:11" x14ac:dyDescent="0.25">
      <c r="A195" t="s">
        <v>1668</v>
      </c>
      <c r="B195" t="s">
        <v>1669</v>
      </c>
      <c r="D195" t="s">
        <v>1670</v>
      </c>
      <c r="E195" t="s">
        <v>1671</v>
      </c>
      <c r="J195" t="s">
        <v>1672</v>
      </c>
      <c r="K195" t="s">
        <v>1673</v>
      </c>
    </row>
    <row r="196" spans="1:11" x14ac:dyDescent="0.25">
      <c r="A196" t="s">
        <v>1674</v>
      </c>
      <c r="B196" t="s">
        <v>1675</v>
      </c>
      <c r="D196" t="s">
        <v>1676</v>
      </c>
      <c r="E196" t="s">
        <v>1677</v>
      </c>
      <c r="J196" t="s">
        <v>1678</v>
      </c>
      <c r="K196" t="s">
        <v>1679</v>
      </c>
    </row>
    <row r="197" spans="1:11" x14ac:dyDescent="0.25">
      <c r="A197" t="s">
        <v>1680</v>
      </c>
      <c r="B197" t="s">
        <v>1681</v>
      </c>
      <c r="D197" t="s">
        <v>1682</v>
      </c>
      <c r="E197" t="s">
        <v>1683</v>
      </c>
      <c r="J197" t="s">
        <v>1684</v>
      </c>
      <c r="K197" t="s">
        <v>1685</v>
      </c>
    </row>
    <row r="198" spans="1:11" x14ac:dyDescent="0.25">
      <c r="A198" t="s">
        <v>1686</v>
      </c>
      <c r="B198" t="s">
        <v>1687</v>
      </c>
      <c r="D198" t="s">
        <v>1688</v>
      </c>
      <c r="E198" t="s">
        <v>1689</v>
      </c>
      <c r="J198" t="s">
        <v>1690</v>
      </c>
      <c r="K198" t="s">
        <v>1691</v>
      </c>
    </row>
    <row r="199" spans="1:11" x14ac:dyDescent="0.25">
      <c r="A199" t="s">
        <v>1692</v>
      </c>
      <c r="B199" t="s">
        <v>1693</v>
      </c>
      <c r="D199" t="s">
        <v>1694</v>
      </c>
      <c r="E199" t="s">
        <v>1695</v>
      </c>
      <c r="J199" t="s">
        <v>1696</v>
      </c>
      <c r="K199" t="s">
        <v>1697</v>
      </c>
    </row>
    <row r="200" spans="1:11" x14ac:dyDescent="0.25">
      <c r="A200" t="s">
        <v>1698</v>
      </c>
      <c r="B200" t="s">
        <v>1699</v>
      </c>
      <c r="D200" t="s">
        <v>1700</v>
      </c>
      <c r="E200" t="s">
        <v>1701</v>
      </c>
      <c r="J200" t="s">
        <v>1702</v>
      </c>
      <c r="K200" t="s">
        <v>1703</v>
      </c>
    </row>
    <row r="201" spans="1:11" x14ac:dyDescent="0.25">
      <c r="A201" t="s">
        <v>1704</v>
      </c>
      <c r="B201" t="s">
        <v>1705</v>
      </c>
      <c r="D201" t="s">
        <v>1706</v>
      </c>
      <c r="E201" t="s">
        <v>1707</v>
      </c>
      <c r="J201" t="s">
        <v>1708</v>
      </c>
      <c r="K201" t="s">
        <v>1709</v>
      </c>
    </row>
    <row r="202" spans="1:11" x14ac:dyDescent="0.25">
      <c r="A202" t="s">
        <v>1710</v>
      </c>
      <c r="B202" t="s">
        <v>1711</v>
      </c>
      <c r="D202" t="s">
        <v>1712</v>
      </c>
      <c r="E202" t="s">
        <v>1713</v>
      </c>
      <c r="J202" t="s">
        <v>1714</v>
      </c>
      <c r="K202" t="s">
        <v>1715</v>
      </c>
    </row>
    <row r="203" spans="1:11" x14ac:dyDescent="0.25">
      <c r="A203" t="s">
        <v>1716</v>
      </c>
      <c r="B203" t="s">
        <v>1717</v>
      </c>
      <c r="D203" t="s">
        <v>1718</v>
      </c>
      <c r="E203" t="s">
        <v>1719</v>
      </c>
      <c r="J203" t="s">
        <v>1720</v>
      </c>
      <c r="K203" t="s">
        <v>1721</v>
      </c>
    </row>
    <row r="204" spans="1:11" x14ac:dyDescent="0.25">
      <c r="A204" t="s">
        <v>1722</v>
      </c>
      <c r="B204" t="s">
        <v>1723</v>
      </c>
      <c r="D204" t="s">
        <v>1724</v>
      </c>
      <c r="E204" t="s">
        <v>1725</v>
      </c>
      <c r="J204" t="s">
        <v>1726</v>
      </c>
      <c r="K204" t="s">
        <v>1727</v>
      </c>
    </row>
    <row r="205" spans="1:11" x14ac:dyDescent="0.25">
      <c r="A205" t="s">
        <v>1728</v>
      </c>
      <c r="B205" t="s">
        <v>1729</v>
      </c>
      <c r="D205" t="s">
        <v>1730</v>
      </c>
      <c r="E205" t="s">
        <v>1731</v>
      </c>
      <c r="J205" t="s">
        <v>1732</v>
      </c>
      <c r="K205" t="s">
        <v>1733</v>
      </c>
    </row>
    <row r="206" spans="1:11" x14ac:dyDescent="0.25">
      <c r="A206" t="s">
        <v>1734</v>
      </c>
      <c r="B206" t="s">
        <v>1735</v>
      </c>
      <c r="D206" t="s">
        <v>1736</v>
      </c>
      <c r="E206" t="s">
        <v>1737</v>
      </c>
      <c r="J206" t="s">
        <v>1738</v>
      </c>
      <c r="K206" t="s">
        <v>1739</v>
      </c>
    </row>
    <row r="207" spans="1:11" x14ac:dyDescent="0.25">
      <c r="A207" t="s">
        <v>1740</v>
      </c>
      <c r="B207" t="s">
        <v>1741</v>
      </c>
      <c r="D207" t="s">
        <v>1742</v>
      </c>
      <c r="E207" t="s">
        <v>1743</v>
      </c>
      <c r="J207" t="s">
        <v>1744</v>
      </c>
      <c r="K207" t="s">
        <v>1745</v>
      </c>
    </row>
    <row r="208" spans="1:11" x14ac:dyDescent="0.25">
      <c r="A208" t="s">
        <v>1746</v>
      </c>
      <c r="B208" t="s">
        <v>1747</v>
      </c>
      <c r="D208" t="s">
        <v>1748</v>
      </c>
      <c r="E208" t="s">
        <v>1749</v>
      </c>
      <c r="J208" t="s">
        <v>1750</v>
      </c>
      <c r="K208" t="s">
        <v>1751</v>
      </c>
    </row>
    <row r="209" spans="1:11" x14ac:dyDescent="0.25">
      <c r="A209" t="s">
        <v>1752</v>
      </c>
      <c r="B209" t="s">
        <v>1753</v>
      </c>
      <c r="D209" t="s">
        <v>1754</v>
      </c>
      <c r="E209" t="s">
        <v>1755</v>
      </c>
      <c r="J209" t="s">
        <v>1756</v>
      </c>
      <c r="K209" t="s">
        <v>1757</v>
      </c>
    </row>
    <row r="210" spans="1:11" x14ac:dyDescent="0.25">
      <c r="A210" t="s">
        <v>1758</v>
      </c>
      <c r="B210" t="s">
        <v>1759</v>
      </c>
      <c r="D210" t="s">
        <v>1760</v>
      </c>
      <c r="E210" t="s">
        <v>1761</v>
      </c>
      <c r="J210" t="s">
        <v>1762</v>
      </c>
      <c r="K210" t="s">
        <v>1763</v>
      </c>
    </row>
    <row r="211" spans="1:11" x14ac:dyDescent="0.25">
      <c r="A211" t="s">
        <v>1764</v>
      </c>
      <c r="B211" t="s">
        <v>1765</v>
      </c>
      <c r="D211" t="s">
        <v>1766</v>
      </c>
      <c r="E211" t="s">
        <v>1767</v>
      </c>
      <c r="J211" t="s">
        <v>1768</v>
      </c>
      <c r="K211" t="s">
        <v>1769</v>
      </c>
    </row>
    <row r="212" spans="1:11" x14ac:dyDescent="0.25">
      <c r="A212" t="s">
        <v>1770</v>
      </c>
      <c r="B212" t="s">
        <v>1771</v>
      </c>
      <c r="D212" t="s">
        <v>1772</v>
      </c>
      <c r="E212" t="s">
        <v>1773</v>
      </c>
      <c r="J212" t="s">
        <v>1774</v>
      </c>
      <c r="K212" t="s">
        <v>1775</v>
      </c>
    </row>
    <row r="213" spans="1:11" x14ac:dyDescent="0.25">
      <c r="A213" t="s">
        <v>1776</v>
      </c>
      <c r="B213" t="s">
        <v>1777</v>
      </c>
      <c r="D213" t="s">
        <v>1778</v>
      </c>
      <c r="E213" t="s">
        <v>1779</v>
      </c>
      <c r="J213" t="s">
        <v>1780</v>
      </c>
      <c r="K213" t="s">
        <v>1781</v>
      </c>
    </row>
    <row r="214" spans="1:11" x14ac:dyDescent="0.25">
      <c r="A214" t="s">
        <v>1782</v>
      </c>
      <c r="B214" t="s">
        <v>1783</v>
      </c>
      <c r="D214" t="s">
        <v>1784</v>
      </c>
      <c r="E214" t="s">
        <v>1785</v>
      </c>
      <c r="J214" t="s">
        <v>1786</v>
      </c>
      <c r="K214" t="s">
        <v>1787</v>
      </c>
    </row>
    <row r="215" spans="1:11" x14ac:dyDescent="0.25">
      <c r="A215" t="s">
        <v>1788</v>
      </c>
      <c r="B215" t="s">
        <v>1789</v>
      </c>
      <c r="D215" t="s">
        <v>1790</v>
      </c>
      <c r="E215" t="s">
        <v>1791</v>
      </c>
      <c r="J215" t="s">
        <v>1792</v>
      </c>
      <c r="K215" t="s">
        <v>1793</v>
      </c>
    </row>
    <row r="216" spans="1:11" x14ac:dyDescent="0.25">
      <c r="A216" t="s">
        <v>1794</v>
      </c>
      <c r="B216" t="s">
        <v>1795</v>
      </c>
      <c r="D216" t="s">
        <v>1796</v>
      </c>
      <c r="E216" t="s">
        <v>1797</v>
      </c>
      <c r="J216" t="s">
        <v>1798</v>
      </c>
      <c r="K216" t="s">
        <v>1799</v>
      </c>
    </row>
    <row r="217" spans="1:11" x14ac:dyDescent="0.25">
      <c r="A217" t="s">
        <v>1800</v>
      </c>
      <c r="B217" t="s">
        <v>1801</v>
      </c>
      <c r="D217" t="s">
        <v>1802</v>
      </c>
      <c r="E217" t="s">
        <v>1803</v>
      </c>
      <c r="J217" t="s">
        <v>1804</v>
      </c>
      <c r="K217" t="s">
        <v>1805</v>
      </c>
    </row>
    <row r="218" spans="1:11" x14ac:dyDescent="0.25">
      <c r="A218" t="s">
        <v>1806</v>
      </c>
      <c r="B218" t="s">
        <v>1807</v>
      </c>
      <c r="D218" t="s">
        <v>1808</v>
      </c>
      <c r="E218" t="s">
        <v>1809</v>
      </c>
      <c r="J218" t="s">
        <v>1810</v>
      </c>
      <c r="K218" t="s">
        <v>1811</v>
      </c>
    </row>
    <row r="219" spans="1:11" x14ac:dyDescent="0.25">
      <c r="A219" t="s">
        <v>1812</v>
      </c>
      <c r="B219" t="s">
        <v>1813</v>
      </c>
      <c r="D219" t="s">
        <v>1814</v>
      </c>
      <c r="E219" t="s">
        <v>1815</v>
      </c>
      <c r="J219" t="s">
        <v>1816</v>
      </c>
      <c r="K219" t="s">
        <v>1817</v>
      </c>
    </row>
    <row r="220" spans="1:11" x14ac:dyDescent="0.25">
      <c r="A220" t="s">
        <v>1818</v>
      </c>
      <c r="B220" t="s">
        <v>1819</v>
      </c>
      <c r="D220" t="s">
        <v>1820</v>
      </c>
      <c r="E220" t="s">
        <v>1821</v>
      </c>
      <c r="J220" t="s">
        <v>1822</v>
      </c>
      <c r="K220" t="s">
        <v>1823</v>
      </c>
    </row>
    <row r="221" spans="1:11" x14ac:dyDescent="0.25">
      <c r="A221" t="s">
        <v>1824</v>
      </c>
      <c r="B221" t="s">
        <v>1825</v>
      </c>
      <c r="D221" t="s">
        <v>1826</v>
      </c>
      <c r="E221" t="s">
        <v>1827</v>
      </c>
      <c r="J221" t="s">
        <v>1828</v>
      </c>
      <c r="K221" t="s">
        <v>1829</v>
      </c>
    </row>
    <row r="222" spans="1:11" x14ac:dyDescent="0.25">
      <c r="A222" t="s">
        <v>1830</v>
      </c>
      <c r="B222" t="s">
        <v>1831</v>
      </c>
      <c r="D222" t="s">
        <v>1832</v>
      </c>
      <c r="E222" t="s">
        <v>1833</v>
      </c>
      <c r="J222" t="s">
        <v>1834</v>
      </c>
      <c r="K222" t="s">
        <v>1835</v>
      </c>
    </row>
    <row r="223" spans="1:11" x14ac:dyDescent="0.25">
      <c r="A223" t="s">
        <v>1836</v>
      </c>
      <c r="B223" t="s">
        <v>1837</v>
      </c>
      <c r="D223" t="s">
        <v>1838</v>
      </c>
      <c r="E223" t="s">
        <v>1839</v>
      </c>
      <c r="J223" t="s">
        <v>1840</v>
      </c>
      <c r="K223" t="s">
        <v>1841</v>
      </c>
    </row>
    <row r="224" spans="1:11" x14ac:dyDescent="0.25">
      <c r="A224" t="s">
        <v>1842</v>
      </c>
      <c r="B224" t="s">
        <v>1843</v>
      </c>
      <c r="D224" t="s">
        <v>1844</v>
      </c>
      <c r="E224" t="s">
        <v>1845</v>
      </c>
      <c r="J224" t="s">
        <v>1846</v>
      </c>
      <c r="K224" t="s">
        <v>1847</v>
      </c>
    </row>
    <row r="225" spans="1:11" x14ac:dyDescent="0.25">
      <c r="A225" t="s">
        <v>1848</v>
      </c>
      <c r="B225" t="s">
        <v>1849</v>
      </c>
      <c r="D225" t="s">
        <v>1850</v>
      </c>
      <c r="E225" t="s">
        <v>1851</v>
      </c>
      <c r="J225" t="s">
        <v>1852</v>
      </c>
      <c r="K225" t="s">
        <v>1853</v>
      </c>
    </row>
    <row r="226" spans="1:11" x14ac:dyDescent="0.25">
      <c r="A226" t="s">
        <v>1854</v>
      </c>
      <c r="B226" t="s">
        <v>1855</v>
      </c>
      <c r="D226" t="s">
        <v>1856</v>
      </c>
      <c r="E226" t="s">
        <v>1857</v>
      </c>
      <c r="J226" t="s">
        <v>1858</v>
      </c>
      <c r="K226" t="s">
        <v>1859</v>
      </c>
    </row>
    <row r="227" spans="1:11" x14ac:dyDescent="0.25">
      <c r="A227" t="s">
        <v>1860</v>
      </c>
      <c r="B227" t="s">
        <v>1861</v>
      </c>
      <c r="D227" t="s">
        <v>1862</v>
      </c>
      <c r="E227" t="s">
        <v>1863</v>
      </c>
      <c r="J227" t="s">
        <v>1864</v>
      </c>
      <c r="K227" t="s">
        <v>1865</v>
      </c>
    </row>
    <row r="228" spans="1:11" x14ac:dyDescent="0.25">
      <c r="A228" t="s">
        <v>1866</v>
      </c>
      <c r="B228" t="s">
        <v>1867</v>
      </c>
      <c r="D228" t="s">
        <v>1868</v>
      </c>
      <c r="E228" t="s">
        <v>1869</v>
      </c>
      <c r="J228" t="s">
        <v>1870</v>
      </c>
      <c r="K228" t="s">
        <v>1871</v>
      </c>
    </row>
    <row r="229" spans="1:11" x14ac:dyDescent="0.25">
      <c r="A229" t="s">
        <v>1872</v>
      </c>
      <c r="B229" t="s">
        <v>1873</v>
      </c>
      <c r="D229" t="s">
        <v>1874</v>
      </c>
      <c r="E229" t="s">
        <v>1875</v>
      </c>
      <c r="J229" t="s">
        <v>1876</v>
      </c>
      <c r="K229" t="s">
        <v>1877</v>
      </c>
    </row>
    <row r="230" spans="1:11" x14ac:dyDescent="0.25">
      <c r="A230" t="s">
        <v>1878</v>
      </c>
      <c r="B230" t="s">
        <v>1879</v>
      </c>
      <c r="D230" t="s">
        <v>1880</v>
      </c>
      <c r="E230" t="s">
        <v>1881</v>
      </c>
      <c r="J230" t="s">
        <v>1882</v>
      </c>
      <c r="K230" t="s">
        <v>1883</v>
      </c>
    </row>
    <row r="231" spans="1:11" x14ac:dyDescent="0.25">
      <c r="A231" t="s">
        <v>1884</v>
      </c>
      <c r="B231" t="s">
        <v>1885</v>
      </c>
      <c r="D231" t="s">
        <v>1886</v>
      </c>
      <c r="E231" t="s">
        <v>1887</v>
      </c>
      <c r="J231" t="s">
        <v>1888</v>
      </c>
      <c r="K231" t="s">
        <v>1889</v>
      </c>
    </row>
    <row r="232" spans="1:11" x14ac:dyDescent="0.25">
      <c r="A232" t="s">
        <v>1890</v>
      </c>
      <c r="B232" t="s">
        <v>1891</v>
      </c>
      <c r="D232" t="s">
        <v>1892</v>
      </c>
      <c r="E232" t="s">
        <v>1893</v>
      </c>
      <c r="J232" t="s">
        <v>1894</v>
      </c>
      <c r="K232" t="s">
        <v>1895</v>
      </c>
    </row>
    <row r="233" spans="1:11" x14ac:dyDescent="0.25">
      <c r="A233" t="s">
        <v>1896</v>
      </c>
      <c r="B233" t="s">
        <v>1897</v>
      </c>
      <c r="D233" t="s">
        <v>1898</v>
      </c>
      <c r="E233" t="s">
        <v>1899</v>
      </c>
      <c r="J233" t="s">
        <v>1900</v>
      </c>
      <c r="K233" t="s">
        <v>1901</v>
      </c>
    </row>
    <row r="234" spans="1:11" x14ac:dyDescent="0.25">
      <c r="A234" t="s">
        <v>1902</v>
      </c>
      <c r="B234" t="s">
        <v>1903</v>
      </c>
      <c r="D234" t="s">
        <v>1904</v>
      </c>
      <c r="E234" t="s">
        <v>1905</v>
      </c>
      <c r="J234" t="s">
        <v>1906</v>
      </c>
      <c r="K234" t="s">
        <v>1907</v>
      </c>
    </row>
    <row r="235" spans="1:11" x14ac:dyDescent="0.25">
      <c r="A235" t="s">
        <v>1908</v>
      </c>
      <c r="B235" t="s">
        <v>1909</v>
      </c>
      <c r="D235" t="s">
        <v>1910</v>
      </c>
      <c r="E235" t="s">
        <v>1911</v>
      </c>
      <c r="J235" t="s">
        <v>1912</v>
      </c>
      <c r="K235" t="s">
        <v>1913</v>
      </c>
    </row>
    <row r="236" spans="1:11" x14ac:dyDescent="0.25">
      <c r="A236" t="s">
        <v>1914</v>
      </c>
      <c r="B236" t="s">
        <v>1915</v>
      </c>
      <c r="D236" t="s">
        <v>1916</v>
      </c>
      <c r="E236" t="s">
        <v>1917</v>
      </c>
      <c r="J236" t="s">
        <v>1918</v>
      </c>
      <c r="K236" t="s">
        <v>1919</v>
      </c>
    </row>
    <row r="237" spans="1:11" x14ac:dyDescent="0.25">
      <c r="A237" t="s">
        <v>1920</v>
      </c>
      <c r="B237" t="s">
        <v>1921</v>
      </c>
      <c r="D237" t="s">
        <v>1922</v>
      </c>
      <c r="E237" t="s">
        <v>1923</v>
      </c>
      <c r="J237" t="s">
        <v>1924</v>
      </c>
      <c r="K237" t="s">
        <v>1925</v>
      </c>
    </row>
    <row r="238" spans="1:11" x14ac:dyDescent="0.25">
      <c r="A238" t="s">
        <v>1926</v>
      </c>
      <c r="B238" t="s">
        <v>1927</v>
      </c>
      <c r="D238" t="s">
        <v>1928</v>
      </c>
      <c r="E238" t="s">
        <v>1929</v>
      </c>
      <c r="J238" t="s">
        <v>1930</v>
      </c>
      <c r="K238" t="s">
        <v>1931</v>
      </c>
    </row>
    <row r="239" spans="1:11" x14ac:dyDescent="0.25">
      <c r="A239" t="s">
        <v>1932</v>
      </c>
      <c r="B239" t="s">
        <v>1933</v>
      </c>
      <c r="D239" t="s">
        <v>1934</v>
      </c>
      <c r="E239" t="s">
        <v>1935</v>
      </c>
      <c r="J239" t="s">
        <v>1936</v>
      </c>
      <c r="K239" t="s">
        <v>1937</v>
      </c>
    </row>
    <row r="240" spans="1:11" x14ac:dyDescent="0.25">
      <c r="A240" t="s">
        <v>1938</v>
      </c>
      <c r="B240" t="s">
        <v>1939</v>
      </c>
      <c r="D240" t="s">
        <v>1940</v>
      </c>
      <c r="E240" t="s">
        <v>1941</v>
      </c>
      <c r="J240" t="s">
        <v>1942</v>
      </c>
      <c r="K240" t="s">
        <v>1943</v>
      </c>
    </row>
    <row r="241" spans="1:11" x14ac:dyDescent="0.25">
      <c r="A241" t="s">
        <v>1944</v>
      </c>
      <c r="B241" t="s">
        <v>1945</v>
      </c>
      <c r="D241" t="s">
        <v>1946</v>
      </c>
      <c r="E241" t="s">
        <v>1947</v>
      </c>
      <c r="J241" t="s">
        <v>1948</v>
      </c>
      <c r="K241" t="s">
        <v>1949</v>
      </c>
    </row>
    <row r="242" spans="1:11" x14ac:dyDescent="0.25">
      <c r="A242" t="s">
        <v>1950</v>
      </c>
      <c r="B242" t="s">
        <v>1951</v>
      </c>
      <c r="D242" t="s">
        <v>1952</v>
      </c>
      <c r="E242" t="s">
        <v>1953</v>
      </c>
      <c r="J242" t="s">
        <v>1954</v>
      </c>
      <c r="K242" t="s">
        <v>1955</v>
      </c>
    </row>
    <row r="243" spans="1:11" x14ac:dyDescent="0.25">
      <c r="A243" t="s">
        <v>1956</v>
      </c>
      <c r="B243" t="s">
        <v>1957</v>
      </c>
      <c r="D243" t="s">
        <v>1958</v>
      </c>
      <c r="E243" t="s">
        <v>1959</v>
      </c>
      <c r="J243" t="s">
        <v>1960</v>
      </c>
      <c r="K243" t="s">
        <v>1961</v>
      </c>
    </row>
    <row r="244" spans="1:11" x14ac:dyDescent="0.25">
      <c r="A244" t="s">
        <v>1962</v>
      </c>
      <c r="B244" t="s">
        <v>1963</v>
      </c>
      <c r="D244" t="s">
        <v>1964</v>
      </c>
      <c r="E244" t="s">
        <v>1965</v>
      </c>
      <c r="J244" t="s">
        <v>1966</v>
      </c>
      <c r="K244" t="s">
        <v>1967</v>
      </c>
    </row>
    <row r="245" spans="1:11" x14ac:dyDescent="0.25">
      <c r="A245" t="s">
        <v>1968</v>
      </c>
      <c r="B245" t="s">
        <v>1969</v>
      </c>
      <c r="D245" t="s">
        <v>1970</v>
      </c>
      <c r="E245" t="s">
        <v>1971</v>
      </c>
      <c r="J245" t="s">
        <v>1972</v>
      </c>
      <c r="K245" t="s">
        <v>1973</v>
      </c>
    </row>
    <row r="246" spans="1:11" x14ac:dyDescent="0.25">
      <c r="A246" t="s">
        <v>1974</v>
      </c>
      <c r="B246" t="s">
        <v>1975</v>
      </c>
      <c r="D246" t="s">
        <v>1976</v>
      </c>
      <c r="E246" t="s">
        <v>1977</v>
      </c>
      <c r="J246" t="s">
        <v>1978</v>
      </c>
      <c r="K246" t="s">
        <v>1979</v>
      </c>
    </row>
    <row r="247" spans="1:11" x14ac:dyDescent="0.25">
      <c r="A247" t="s">
        <v>1980</v>
      </c>
      <c r="B247" t="s">
        <v>1981</v>
      </c>
      <c r="D247" t="s">
        <v>1982</v>
      </c>
      <c r="E247" t="s">
        <v>1983</v>
      </c>
      <c r="J247" t="s">
        <v>1984</v>
      </c>
      <c r="K247" t="s">
        <v>1985</v>
      </c>
    </row>
    <row r="248" spans="1:11" x14ac:dyDescent="0.25">
      <c r="A248" t="s">
        <v>1986</v>
      </c>
      <c r="B248" t="s">
        <v>1987</v>
      </c>
      <c r="D248" t="s">
        <v>1988</v>
      </c>
      <c r="E248" t="s">
        <v>1989</v>
      </c>
      <c r="J248" t="s">
        <v>1990</v>
      </c>
      <c r="K248" t="s">
        <v>1991</v>
      </c>
    </row>
    <row r="249" spans="1:11" x14ac:dyDescent="0.25">
      <c r="A249" t="s">
        <v>1992</v>
      </c>
      <c r="B249" t="s">
        <v>1993</v>
      </c>
      <c r="D249" t="s">
        <v>1994</v>
      </c>
      <c r="E249" t="s">
        <v>1995</v>
      </c>
      <c r="J249" t="s">
        <v>1996</v>
      </c>
      <c r="K249" t="s">
        <v>1997</v>
      </c>
    </row>
    <row r="250" spans="1:11" x14ac:dyDescent="0.25">
      <c r="A250" t="s">
        <v>1998</v>
      </c>
      <c r="B250" t="s">
        <v>1999</v>
      </c>
      <c r="D250" t="s">
        <v>2000</v>
      </c>
      <c r="E250" t="s">
        <v>2001</v>
      </c>
      <c r="J250" t="s">
        <v>2002</v>
      </c>
      <c r="K250" t="s">
        <v>2003</v>
      </c>
    </row>
    <row r="251" spans="1:11" x14ac:dyDescent="0.25">
      <c r="A251" t="s">
        <v>2004</v>
      </c>
      <c r="B251" t="s">
        <v>2005</v>
      </c>
      <c r="D251" t="s">
        <v>2006</v>
      </c>
      <c r="E251" t="s">
        <v>2007</v>
      </c>
      <c r="J251" t="s">
        <v>2008</v>
      </c>
      <c r="K251" t="s">
        <v>2009</v>
      </c>
    </row>
    <row r="252" spans="1:11" x14ac:dyDescent="0.25">
      <c r="A252" t="s">
        <v>2010</v>
      </c>
      <c r="B252" t="s">
        <v>2011</v>
      </c>
      <c r="D252" t="s">
        <v>2012</v>
      </c>
      <c r="E252" t="s">
        <v>2013</v>
      </c>
      <c r="J252" t="s">
        <v>2014</v>
      </c>
      <c r="K252" t="s">
        <v>2015</v>
      </c>
    </row>
    <row r="253" spans="1:11" x14ac:dyDescent="0.25">
      <c r="A253" t="s">
        <v>2016</v>
      </c>
      <c r="B253" t="s">
        <v>2017</v>
      </c>
      <c r="D253" t="s">
        <v>2018</v>
      </c>
      <c r="E253" t="s">
        <v>2019</v>
      </c>
      <c r="J253" t="s">
        <v>2020</v>
      </c>
      <c r="K253" t="s">
        <v>2021</v>
      </c>
    </row>
    <row r="254" spans="1:11" x14ac:dyDescent="0.25">
      <c r="A254" t="s">
        <v>2022</v>
      </c>
      <c r="B254" t="s">
        <v>2023</v>
      </c>
      <c r="D254" t="s">
        <v>2024</v>
      </c>
      <c r="E254" t="s">
        <v>2025</v>
      </c>
      <c r="J254" t="s">
        <v>2026</v>
      </c>
      <c r="K254" t="s">
        <v>2027</v>
      </c>
    </row>
    <row r="255" spans="1:11" x14ac:dyDescent="0.25">
      <c r="A255" t="s">
        <v>2028</v>
      </c>
      <c r="B255" t="s">
        <v>2029</v>
      </c>
      <c r="D255" t="s">
        <v>2030</v>
      </c>
      <c r="E255" t="s">
        <v>2031</v>
      </c>
      <c r="J255" t="s">
        <v>2032</v>
      </c>
      <c r="K255" t="s">
        <v>2033</v>
      </c>
    </row>
    <row r="256" spans="1:11" x14ac:dyDescent="0.25">
      <c r="A256" t="s">
        <v>2034</v>
      </c>
      <c r="B256" t="s">
        <v>2035</v>
      </c>
      <c r="D256" t="s">
        <v>2036</v>
      </c>
      <c r="E256" t="s">
        <v>2037</v>
      </c>
      <c r="J256" t="s">
        <v>2038</v>
      </c>
      <c r="K256" t="s">
        <v>2039</v>
      </c>
    </row>
    <row r="257" spans="1:11" x14ac:dyDescent="0.25">
      <c r="A257" t="s">
        <v>2040</v>
      </c>
      <c r="B257" t="s">
        <v>2041</v>
      </c>
      <c r="D257" t="s">
        <v>2042</v>
      </c>
      <c r="E257" t="s">
        <v>2043</v>
      </c>
      <c r="J257" t="s">
        <v>2044</v>
      </c>
      <c r="K257" t="s">
        <v>2045</v>
      </c>
    </row>
    <row r="258" spans="1:11" x14ac:dyDescent="0.25">
      <c r="A258" t="s">
        <v>2046</v>
      </c>
      <c r="B258" t="s">
        <v>2047</v>
      </c>
      <c r="D258" t="s">
        <v>2048</v>
      </c>
      <c r="E258" t="s">
        <v>2049</v>
      </c>
      <c r="J258" t="s">
        <v>2050</v>
      </c>
      <c r="K258" t="s">
        <v>2051</v>
      </c>
    </row>
    <row r="259" spans="1:11" x14ac:dyDescent="0.25">
      <c r="A259" t="s">
        <v>2052</v>
      </c>
      <c r="B259" t="s">
        <v>2053</v>
      </c>
      <c r="D259" t="s">
        <v>2054</v>
      </c>
      <c r="E259" t="s">
        <v>2055</v>
      </c>
      <c r="J259" t="s">
        <v>2056</v>
      </c>
      <c r="K259" t="s">
        <v>2057</v>
      </c>
    </row>
    <row r="260" spans="1:11" x14ac:dyDescent="0.25">
      <c r="A260" t="s">
        <v>2058</v>
      </c>
      <c r="B260" t="s">
        <v>2059</v>
      </c>
      <c r="D260" t="s">
        <v>2060</v>
      </c>
      <c r="E260" t="s">
        <v>2061</v>
      </c>
      <c r="J260" t="s">
        <v>2062</v>
      </c>
      <c r="K260" t="s">
        <v>2063</v>
      </c>
    </row>
    <row r="261" spans="1:11" x14ac:dyDescent="0.25">
      <c r="A261" t="s">
        <v>2064</v>
      </c>
      <c r="B261" t="s">
        <v>2065</v>
      </c>
      <c r="D261" t="s">
        <v>2066</v>
      </c>
      <c r="E261" t="s">
        <v>2067</v>
      </c>
      <c r="J261" t="s">
        <v>2068</v>
      </c>
      <c r="K261" t="s">
        <v>2069</v>
      </c>
    </row>
    <row r="262" spans="1:11" x14ac:dyDescent="0.25">
      <c r="A262" t="s">
        <v>2070</v>
      </c>
      <c r="B262" t="s">
        <v>2071</v>
      </c>
      <c r="D262" t="s">
        <v>2072</v>
      </c>
      <c r="E262" t="s">
        <v>2073</v>
      </c>
      <c r="J262" t="s">
        <v>2074</v>
      </c>
      <c r="K262" t="s">
        <v>2075</v>
      </c>
    </row>
    <row r="263" spans="1:11" x14ac:dyDescent="0.25">
      <c r="A263" t="s">
        <v>2076</v>
      </c>
      <c r="B263" t="s">
        <v>2077</v>
      </c>
      <c r="D263" t="s">
        <v>2078</v>
      </c>
      <c r="E263" t="s">
        <v>2079</v>
      </c>
      <c r="J263" t="s">
        <v>2080</v>
      </c>
      <c r="K263" t="s">
        <v>2081</v>
      </c>
    </row>
    <row r="264" spans="1:11" x14ac:dyDescent="0.25">
      <c r="A264" t="s">
        <v>2082</v>
      </c>
      <c r="B264" t="s">
        <v>2083</v>
      </c>
      <c r="D264" t="s">
        <v>2084</v>
      </c>
      <c r="E264" t="s">
        <v>2085</v>
      </c>
      <c r="J264" t="s">
        <v>2086</v>
      </c>
      <c r="K264" t="s">
        <v>2087</v>
      </c>
    </row>
    <row r="265" spans="1:11" x14ac:dyDescent="0.25">
      <c r="A265" t="s">
        <v>2088</v>
      </c>
      <c r="B265" t="s">
        <v>2089</v>
      </c>
      <c r="D265" t="s">
        <v>2090</v>
      </c>
      <c r="E265" t="s">
        <v>2091</v>
      </c>
      <c r="J265" t="s">
        <v>2092</v>
      </c>
      <c r="K265" t="s">
        <v>2093</v>
      </c>
    </row>
    <row r="266" spans="1:11" x14ac:dyDescent="0.25">
      <c r="A266" t="s">
        <v>2094</v>
      </c>
      <c r="B266" t="s">
        <v>2095</v>
      </c>
      <c r="D266" t="s">
        <v>2096</v>
      </c>
      <c r="E266" t="s">
        <v>2097</v>
      </c>
      <c r="J266" t="s">
        <v>2098</v>
      </c>
      <c r="K266" t="s">
        <v>2099</v>
      </c>
    </row>
    <row r="267" spans="1:11" x14ac:dyDescent="0.25">
      <c r="A267" t="s">
        <v>2100</v>
      </c>
      <c r="B267" t="s">
        <v>2101</v>
      </c>
      <c r="D267" t="s">
        <v>2102</v>
      </c>
      <c r="E267" t="s">
        <v>2103</v>
      </c>
      <c r="J267" t="s">
        <v>2104</v>
      </c>
      <c r="K267" t="s">
        <v>2105</v>
      </c>
    </row>
    <row r="268" spans="1:11" x14ac:dyDescent="0.25">
      <c r="A268" t="s">
        <v>2106</v>
      </c>
      <c r="B268" t="s">
        <v>2107</v>
      </c>
      <c r="D268" t="s">
        <v>2108</v>
      </c>
      <c r="E268" t="s">
        <v>2109</v>
      </c>
      <c r="J268" t="s">
        <v>2110</v>
      </c>
      <c r="K268" t="s">
        <v>2111</v>
      </c>
    </row>
    <row r="269" spans="1:11" x14ac:dyDescent="0.25">
      <c r="A269" t="s">
        <v>2112</v>
      </c>
      <c r="B269" t="s">
        <v>2113</v>
      </c>
      <c r="D269" t="s">
        <v>2114</v>
      </c>
      <c r="E269" t="s">
        <v>2115</v>
      </c>
      <c r="J269" t="s">
        <v>2116</v>
      </c>
      <c r="K269" t="s">
        <v>2117</v>
      </c>
    </row>
    <row r="270" spans="1:11" x14ac:dyDescent="0.25">
      <c r="A270" t="s">
        <v>2118</v>
      </c>
      <c r="B270" t="s">
        <v>2119</v>
      </c>
      <c r="D270" t="s">
        <v>2120</v>
      </c>
      <c r="E270" t="s">
        <v>2121</v>
      </c>
      <c r="J270" t="s">
        <v>2122</v>
      </c>
      <c r="K270" t="s">
        <v>2123</v>
      </c>
    </row>
    <row r="271" spans="1:11" x14ac:dyDescent="0.25">
      <c r="A271" t="s">
        <v>2124</v>
      </c>
      <c r="B271" t="s">
        <v>2125</v>
      </c>
      <c r="D271" t="s">
        <v>2126</v>
      </c>
      <c r="E271" t="s">
        <v>2127</v>
      </c>
      <c r="J271" t="s">
        <v>2128</v>
      </c>
      <c r="K271" t="s">
        <v>2129</v>
      </c>
    </row>
    <row r="272" spans="1:11" x14ac:dyDescent="0.25">
      <c r="A272" t="s">
        <v>2130</v>
      </c>
      <c r="B272" t="s">
        <v>2131</v>
      </c>
      <c r="D272" t="s">
        <v>2132</v>
      </c>
      <c r="E272" t="s">
        <v>2133</v>
      </c>
      <c r="J272" t="s">
        <v>2134</v>
      </c>
      <c r="K272" t="s">
        <v>2135</v>
      </c>
    </row>
    <row r="273" spans="1:11" x14ac:dyDescent="0.25">
      <c r="A273" t="s">
        <v>2136</v>
      </c>
      <c r="B273" t="s">
        <v>2137</v>
      </c>
      <c r="D273" t="s">
        <v>2138</v>
      </c>
      <c r="E273" t="s">
        <v>2139</v>
      </c>
      <c r="J273" t="s">
        <v>2140</v>
      </c>
      <c r="K273" t="s">
        <v>2141</v>
      </c>
    </row>
    <row r="274" spans="1:11" x14ac:dyDescent="0.25">
      <c r="A274" t="s">
        <v>2142</v>
      </c>
      <c r="B274" t="s">
        <v>2143</v>
      </c>
      <c r="D274" t="s">
        <v>2144</v>
      </c>
      <c r="E274" t="s">
        <v>2145</v>
      </c>
      <c r="J274" t="s">
        <v>2146</v>
      </c>
      <c r="K274" t="s">
        <v>2147</v>
      </c>
    </row>
    <row r="275" spans="1:11" x14ac:dyDescent="0.25">
      <c r="A275" t="s">
        <v>2148</v>
      </c>
      <c r="B275" t="s">
        <v>2149</v>
      </c>
      <c r="D275" t="s">
        <v>2150</v>
      </c>
      <c r="E275" t="s">
        <v>2151</v>
      </c>
      <c r="J275" t="s">
        <v>2152</v>
      </c>
      <c r="K275" t="s">
        <v>2153</v>
      </c>
    </row>
    <row r="276" spans="1:11" x14ac:dyDescent="0.25">
      <c r="A276" t="s">
        <v>2154</v>
      </c>
      <c r="B276" t="s">
        <v>2155</v>
      </c>
      <c r="D276" t="s">
        <v>2156</v>
      </c>
      <c r="E276" t="s">
        <v>2157</v>
      </c>
      <c r="J276" t="s">
        <v>2158</v>
      </c>
      <c r="K276" t="s">
        <v>2159</v>
      </c>
    </row>
    <row r="277" spans="1:11" x14ac:dyDescent="0.25">
      <c r="A277" t="s">
        <v>2160</v>
      </c>
      <c r="B277" t="s">
        <v>2161</v>
      </c>
      <c r="D277" t="s">
        <v>2162</v>
      </c>
      <c r="E277" t="s">
        <v>2163</v>
      </c>
      <c r="J277" t="s">
        <v>2164</v>
      </c>
      <c r="K277" t="s">
        <v>2165</v>
      </c>
    </row>
    <row r="278" spans="1:11" x14ac:dyDescent="0.25">
      <c r="A278" t="s">
        <v>2166</v>
      </c>
      <c r="B278" t="s">
        <v>2167</v>
      </c>
      <c r="D278" t="s">
        <v>2168</v>
      </c>
      <c r="E278" t="s">
        <v>2169</v>
      </c>
      <c r="J278" t="s">
        <v>2170</v>
      </c>
      <c r="K278" t="s">
        <v>2171</v>
      </c>
    </row>
    <row r="279" spans="1:11" x14ac:dyDescent="0.25">
      <c r="A279" t="s">
        <v>2172</v>
      </c>
      <c r="B279" t="s">
        <v>2173</v>
      </c>
      <c r="D279" t="s">
        <v>2174</v>
      </c>
      <c r="E279" t="s">
        <v>2175</v>
      </c>
      <c r="J279" t="s">
        <v>2176</v>
      </c>
      <c r="K279" t="s">
        <v>2177</v>
      </c>
    </row>
    <row r="280" spans="1:11" x14ac:dyDescent="0.25">
      <c r="A280" t="s">
        <v>2178</v>
      </c>
      <c r="B280" t="s">
        <v>2179</v>
      </c>
      <c r="D280" t="s">
        <v>2180</v>
      </c>
      <c r="E280" t="s">
        <v>2181</v>
      </c>
      <c r="J280" t="s">
        <v>2182</v>
      </c>
      <c r="K280" t="s">
        <v>2183</v>
      </c>
    </row>
    <row r="281" spans="1:11" x14ac:dyDescent="0.25">
      <c r="A281" t="s">
        <v>2184</v>
      </c>
      <c r="B281" t="s">
        <v>2185</v>
      </c>
      <c r="D281" t="s">
        <v>2186</v>
      </c>
      <c r="E281" t="s">
        <v>2187</v>
      </c>
      <c r="J281" t="s">
        <v>2188</v>
      </c>
      <c r="K281" t="s">
        <v>2189</v>
      </c>
    </row>
    <row r="282" spans="1:11" x14ac:dyDescent="0.25">
      <c r="A282" t="s">
        <v>2190</v>
      </c>
      <c r="B282" t="s">
        <v>2191</v>
      </c>
      <c r="D282" t="s">
        <v>2192</v>
      </c>
      <c r="E282" t="s">
        <v>2193</v>
      </c>
      <c r="J282" t="s">
        <v>2194</v>
      </c>
      <c r="K282" t="s">
        <v>2195</v>
      </c>
    </row>
    <row r="283" spans="1:11" x14ac:dyDescent="0.25">
      <c r="A283" t="s">
        <v>2196</v>
      </c>
      <c r="B283" t="s">
        <v>2197</v>
      </c>
      <c r="D283" t="s">
        <v>2198</v>
      </c>
      <c r="E283" t="s">
        <v>2199</v>
      </c>
      <c r="J283" t="s">
        <v>2200</v>
      </c>
      <c r="K283" t="s">
        <v>2201</v>
      </c>
    </row>
    <row r="284" spans="1:11" x14ac:dyDescent="0.25">
      <c r="A284" t="s">
        <v>2202</v>
      </c>
      <c r="B284" t="s">
        <v>2203</v>
      </c>
      <c r="D284" t="s">
        <v>2204</v>
      </c>
      <c r="E284" t="s">
        <v>2205</v>
      </c>
      <c r="J284" t="s">
        <v>2206</v>
      </c>
      <c r="K284" t="s">
        <v>2207</v>
      </c>
    </row>
    <row r="285" spans="1:11" x14ac:dyDescent="0.25">
      <c r="A285" t="s">
        <v>2208</v>
      </c>
      <c r="B285" t="s">
        <v>2209</v>
      </c>
      <c r="D285" t="s">
        <v>2210</v>
      </c>
      <c r="E285" t="s">
        <v>2211</v>
      </c>
      <c r="J285" t="s">
        <v>2212</v>
      </c>
      <c r="K285" t="s">
        <v>2213</v>
      </c>
    </row>
    <row r="286" spans="1:11" x14ac:dyDescent="0.25">
      <c r="A286" t="s">
        <v>2214</v>
      </c>
      <c r="B286" t="s">
        <v>2215</v>
      </c>
      <c r="D286" t="s">
        <v>2216</v>
      </c>
      <c r="E286" t="s">
        <v>2217</v>
      </c>
      <c r="J286" t="s">
        <v>2218</v>
      </c>
      <c r="K286" t="s">
        <v>2219</v>
      </c>
    </row>
    <row r="287" spans="1:11" x14ac:dyDescent="0.25">
      <c r="A287" t="s">
        <v>2220</v>
      </c>
      <c r="B287" t="s">
        <v>2221</v>
      </c>
      <c r="D287" t="s">
        <v>2222</v>
      </c>
      <c r="E287" t="s">
        <v>2223</v>
      </c>
      <c r="J287" t="s">
        <v>2224</v>
      </c>
      <c r="K287" t="s">
        <v>2225</v>
      </c>
    </row>
    <row r="288" spans="1:11" x14ac:dyDescent="0.25">
      <c r="A288" t="s">
        <v>2226</v>
      </c>
      <c r="B288" t="s">
        <v>2227</v>
      </c>
      <c r="D288" t="s">
        <v>2228</v>
      </c>
      <c r="E288" t="s">
        <v>2229</v>
      </c>
      <c r="J288" t="s">
        <v>2230</v>
      </c>
      <c r="K288" t="s">
        <v>2231</v>
      </c>
    </row>
    <row r="289" spans="1:5" x14ac:dyDescent="0.25">
      <c r="A289" t="s">
        <v>2232</v>
      </c>
      <c r="B289" t="s">
        <v>2233</v>
      </c>
      <c r="D289" t="s">
        <v>2234</v>
      </c>
      <c r="E289" t="s">
        <v>2235</v>
      </c>
    </row>
    <row r="290" spans="1:5" x14ac:dyDescent="0.25">
      <c r="A290" t="s">
        <v>2236</v>
      </c>
      <c r="B290" t="s">
        <v>2237</v>
      </c>
      <c r="D290" t="s">
        <v>2238</v>
      </c>
      <c r="E290" t="s">
        <v>2239</v>
      </c>
    </row>
    <row r="291" spans="1:5" x14ac:dyDescent="0.25">
      <c r="A291" t="s">
        <v>2240</v>
      </c>
      <c r="B291" t="s">
        <v>2241</v>
      </c>
      <c r="D291" t="s">
        <v>2242</v>
      </c>
      <c r="E291" t="s">
        <v>2243</v>
      </c>
    </row>
    <row r="292" spans="1:5" x14ac:dyDescent="0.25">
      <c r="A292" t="s">
        <v>2244</v>
      </c>
      <c r="B292" t="s">
        <v>2245</v>
      </c>
      <c r="D292" t="s">
        <v>2246</v>
      </c>
      <c r="E292" t="s">
        <v>2247</v>
      </c>
    </row>
    <row r="293" spans="1:5" x14ac:dyDescent="0.25">
      <c r="A293" t="s">
        <v>2248</v>
      </c>
      <c r="B293" t="s">
        <v>2249</v>
      </c>
      <c r="D293" t="s">
        <v>2250</v>
      </c>
      <c r="E293" t="s">
        <v>2251</v>
      </c>
    </row>
    <row r="294" spans="1:5" x14ac:dyDescent="0.25">
      <c r="A294" t="s">
        <v>2252</v>
      </c>
      <c r="B294" t="s">
        <v>2253</v>
      </c>
      <c r="D294" t="s">
        <v>2254</v>
      </c>
      <c r="E294" t="s">
        <v>2255</v>
      </c>
    </row>
    <row r="295" spans="1:5" x14ac:dyDescent="0.25">
      <c r="A295" t="s">
        <v>2256</v>
      </c>
      <c r="B295" t="s">
        <v>2257</v>
      </c>
      <c r="D295" t="s">
        <v>2258</v>
      </c>
      <c r="E295" t="s">
        <v>2259</v>
      </c>
    </row>
    <row r="296" spans="1:5" x14ac:dyDescent="0.25">
      <c r="A296" t="s">
        <v>2260</v>
      </c>
      <c r="B296" t="s">
        <v>2261</v>
      </c>
      <c r="D296" t="s">
        <v>2262</v>
      </c>
      <c r="E296" t="s">
        <v>2263</v>
      </c>
    </row>
    <row r="297" spans="1:5" x14ac:dyDescent="0.25">
      <c r="A297" t="s">
        <v>2264</v>
      </c>
      <c r="B297" t="s">
        <v>2265</v>
      </c>
      <c r="D297" t="s">
        <v>2266</v>
      </c>
      <c r="E297" t="s">
        <v>2267</v>
      </c>
    </row>
    <row r="298" spans="1:5" x14ac:dyDescent="0.25">
      <c r="A298" t="s">
        <v>2268</v>
      </c>
      <c r="B298" t="s">
        <v>2269</v>
      </c>
      <c r="D298" t="s">
        <v>2270</v>
      </c>
      <c r="E298" t="s">
        <v>2271</v>
      </c>
    </row>
    <row r="299" spans="1:5" x14ac:dyDescent="0.25">
      <c r="A299" t="s">
        <v>2272</v>
      </c>
      <c r="B299" t="s">
        <v>2273</v>
      </c>
      <c r="D299" t="s">
        <v>2274</v>
      </c>
      <c r="E299" t="s">
        <v>2275</v>
      </c>
    </row>
    <row r="300" spans="1:5" x14ac:dyDescent="0.25">
      <c r="A300" t="s">
        <v>2276</v>
      </c>
      <c r="B300" t="s">
        <v>2277</v>
      </c>
      <c r="D300" t="s">
        <v>2278</v>
      </c>
      <c r="E300" t="s">
        <v>2279</v>
      </c>
    </row>
    <row r="301" spans="1:5" x14ac:dyDescent="0.25">
      <c r="A301" t="s">
        <v>2280</v>
      </c>
      <c r="B301" t="s">
        <v>2281</v>
      </c>
      <c r="D301" t="s">
        <v>2282</v>
      </c>
      <c r="E301" t="s">
        <v>2283</v>
      </c>
    </row>
    <row r="302" spans="1:5" x14ac:dyDescent="0.25">
      <c r="A302" t="s">
        <v>2284</v>
      </c>
      <c r="B302" t="s">
        <v>2285</v>
      </c>
      <c r="D302" t="s">
        <v>2286</v>
      </c>
      <c r="E302" t="s">
        <v>2287</v>
      </c>
    </row>
    <row r="303" spans="1:5" x14ac:dyDescent="0.25">
      <c r="A303" t="s">
        <v>2288</v>
      </c>
      <c r="B303" t="s">
        <v>2289</v>
      </c>
      <c r="D303" t="s">
        <v>2290</v>
      </c>
      <c r="E303" t="s">
        <v>2291</v>
      </c>
    </row>
    <row r="304" spans="1:5" x14ac:dyDescent="0.25">
      <c r="A304" t="s">
        <v>2292</v>
      </c>
      <c r="B304" t="s">
        <v>2293</v>
      </c>
      <c r="D304" t="s">
        <v>2294</v>
      </c>
      <c r="E304" t="s">
        <v>2295</v>
      </c>
    </row>
    <row r="305" spans="1:5" x14ac:dyDescent="0.25">
      <c r="A305" t="s">
        <v>2296</v>
      </c>
      <c r="B305" t="s">
        <v>2297</v>
      </c>
      <c r="D305" t="s">
        <v>2298</v>
      </c>
      <c r="E305" t="s">
        <v>2299</v>
      </c>
    </row>
    <row r="306" spans="1:5" x14ac:dyDescent="0.25">
      <c r="A306" t="s">
        <v>2300</v>
      </c>
      <c r="B306" t="s">
        <v>2301</v>
      </c>
      <c r="D306" t="s">
        <v>2302</v>
      </c>
      <c r="E306" t="s">
        <v>2303</v>
      </c>
    </row>
    <row r="307" spans="1:5" x14ac:dyDescent="0.25">
      <c r="A307" t="s">
        <v>2304</v>
      </c>
      <c r="B307" t="s">
        <v>2305</v>
      </c>
      <c r="D307" t="s">
        <v>2306</v>
      </c>
      <c r="E307" t="s">
        <v>2307</v>
      </c>
    </row>
    <row r="308" spans="1:5" x14ac:dyDescent="0.25">
      <c r="A308" t="s">
        <v>2308</v>
      </c>
      <c r="B308" t="s">
        <v>2309</v>
      </c>
      <c r="D308" t="s">
        <v>2310</v>
      </c>
      <c r="E308" t="s">
        <v>2311</v>
      </c>
    </row>
    <row r="309" spans="1:5" x14ac:dyDescent="0.25">
      <c r="A309" t="s">
        <v>2312</v>
      </c>
      <c r="B309" t="s">
        <v>2313</v>
      </c>
      <c r="D309" t="s">
        <v>2314</v>
      </c>
      <c r="E309" t="s">
        <v>2315</v>
      </c>
    </row>
    <row r="310" spans="1:5" x14ac:dyDescent="0.25">
      <c r="A310" t="s">
        <v>2316</v>
      </c>
      <c r="B310" t="s">
        <v>2317</v>
      </c>
      <c r="D310" t="s">
        <v>2318</v>
      </c>
      <c r="E310" t="s">
        <v>2319</v>
      </c>
    </row>
    <row r="311" spans="1:5" x14ac:dyDescent="0.25">
      <c r="A311" t="s">
        <v>2320</v>
      </c>
      <c r="B311" t="s">
        <v>2321</v>
      </c>
      <c r="D311" t="s">
        <v>2322</v>
      </c>
      <c r="E311" t="s">
        <v>2323</v>
      </c>
    </row>
    <row r="312" spans="1:5" x14ac:dyDescent="0.25">
      <c r="A312" t="s">
        <v>2324</v>
      </c>
      <c r="B312" t="s">
        <v>2325</v>
      </c>
      <c r="D312" t="s">
        <v>2326</v>
      </c>
      <c r="E312" t="s">
        <v>2327</v>
      </c>
    </row>
    <row r="313" spans="1:5" x14ac:dyDescent="0.25">
      <c r="A313" t="s">
        <v>2328</v>
      </c>
      <c r="B313" t="s">
        <v>2329</v>
      </c>
      <c r="D313" t="s">
        <v>2330</v>
      </c>
      <c r="E313" t="s">
        <v>2331</v>
      </c>
    </row>
    <row r="314" spans="1:5" x14ac:dyDescent="0.25">
      <c r="A314" t="s">
        <v>2332</v>
      </c>
      <c r="B314" t="s">
        <v>2333</v>
      </c>
      <c r="D314" t="s">
        <v>2334</v>
      </c>
      <c r="E314" t="s">
        <v>2335</v>
      </c>
    </row>
    <row r="315" spans="1:5" x14ac:dyDescent="0.25">
      <c r="A315" t="s">
        <v>2336</v>
      </c>
      <c r="B315" t="s">
        <v>2337</v>
      </c>
      <c r="D315" t="s">
        <v>2338</v>
      </c>
      <c r="E315" t="s">
        <v>2339</v>
      </c>
    </row>
    <row r="316" spans="1:5" x14ac:dyDescent="0.25">
      <c r="A316" t="s">
        <v>2340</v>
      </c>
      <c r="B316" t="s">
        <v>2341</v>
      </c>
      <c r="D316" t="s">
        <v>2342</v>
      </c>
      <c r="E316" t="s">
        <v>2343</v>
      </c>
    </row>
    <row r="317" spans="1:5" x14ac:dyDescent="0.25">
      <c r="A317" t="s">
        <v>2344</v>
      </c>
      <c r="B317" t="s">
        <v>2345</v>
      </c>
      <c r="D317" t="s">
        <v>2346</v>
      </c>
      <c r="E317" t="s">
        <v>2347</v>
      </c>
    </row>
    <row r="318" spans="1:5" x14ac:dyDescent="0.25">
      <c r="A318" t="s">
        <v>2348</v>
      </c>
      <c r="B318" t="s">
        <v>2349</v>
      </c>
      <c r="D318" t="s">
        <v>2350</v>
      </c>
      <c r="E318" t="s">
        <v>2351</v>
      </c>
    </row>
    <row r="319" spans="1:5" x14ac:dyDescent="0.25">
      <c r="A319" t="s">
        <v>2352</v>
      </c>
      <c r="B319" t="s">
        <v>2353</v>
      </c>
      <c r="D319" t="s">
        <v>2354</v>
      </c>
      <c r="E319" t="s">
        <v>2355</v>
      </c>
    </row>
    <row r="320" spans="1:5" x14ac:dyDescent="0.25">
      <c r="A320" t="s">
        <v>2356</v>
      </c>
      <c r="B320" t="s">
        <v>2357</v>
      </c>
      <c r="D320" t="s">
        <v>2358</v>
      </c>
      <c r="E320" t="s">
        <v>2359</v>
      </c>
    </row>
    <row r="321" spans="1:5" x14ac:dyDescent="0.25">
      <c r="A321" t="s">
        <v>2360</v>
      </c>
      <c r="B321" t="s">
        <v>2361</v>
      </c>
      <c r="D321" t="s">
        <v>2362</v>
      </c>
      <c r="E321" t="s">
        <v>2363</v>
      </c>
    </row>
    <row r="322" spans="1:5" x14ac:dyDescent="0.25">
      <c r="A322" t="s">
        <v>2364</v>
      </c>
      <c r="B322" t="s">
        <v>2365</v>
      </c>
      <c r="D322" t="s">
        <v>2366</v>
      </c>
      <c r="E322" t="s">
        <v>2367</v>
      </c>
    </row>
    <row r="323" spans="1:5" x14ac:dyDescent="0.25">
      <c r="A323" t="s">
        <v>2368</v>
      </c>
      <c r="B323" t="s">
        <v>2369</v>
      </c>
      <c r="D323" t="s">
        <v>2370</v>
      </c>
      <c r="E323" t="s">
        <v>2371</v>
      </c>
    </row>
    <row r="324" spans="1:5" x14ac:dyDescent="0.25">
      <c r="A324" t="s">
        <v>2372</v>
      </c>
      <c r="B324" t="s">
        <v>2373</v>
      </c>
      <c r="D324" t="s">
        <v>2374</v>
      </c>
      <c r="E324" t="s">
        <v>2375</v>
      </c>
    </row>
    <row r="325" spans="1:5" x14ac:dyDescent="0.25">
      <c r="A325" t="s">
        <v>2376</v>
      </c>
      <c r="B325" t="s">
        <v>2377</v>
      </c>
      <c r="D325" t="s">
        <v>2378</v>
      </c>
      <c r="E325" t="s">
        <v>2379</v>
      </c>
    </row>
    <row r="326" spans="1:5" x14ac:dyDescent="0.25">
      <c r="A326" t="s">
        <v>2380</v>
      </c>
      <c r="B326" t="s">
        <v>2381</v>
      </c>
      <c r="D326" t="s">
        <v>2382</v>
      </c>
      <c r="E326" t="s">
        <v>2383</v>
      </c>
    </row>
    <row r="327" spans="1:5" x14ac:dyDescent="0.25">
      <c r="A327" t="s">
        <v>2384</v>
      </c>
      <c r="B327" t="s">
        <v>2385</v>
      </c>
      <c r="D327" t="s">
        <v>2386</v>
      </c>
      <c r="E327" t="s">
        <v>2387</v>
      </c>
    </row>
    <row r="328" spans="1:5" x14ac:dyDescent="0.25">
      <c r="A328" t="s">
        <v>2388</v>
      </c>
      <c r="B328" t="s">
        <v>2389</v>
      </c>
      <c r="D328" t="s">
        <v>2390</v>
      </c>
      <c r="E328" t="s">
        <v>2391</v>
      </c>
    </row>
    <row r="329" spans="1:5" x14ac:dyDescent="0.25">
      <c r="A329" t="s">
        <v>2392</v>
      </c>
      <c r="B329" t="s">
        <v>2393</v>
      </c>
      <c r="D329" t="s">
        <v>2394</v>
      </c>
      <c r="E329" t="s">
        <v>2395</v>
      </c>
    </row>
    <row r="330" spans="1:5" x14ac:dyDescent="0.25">
      <c r="A330" t="s">
        <v>2396</v>
      </c>
      <c r="B330" t="s">
        <v>2397</v>
      </c>
      <c r="D330" t="s">
        <v>2398</v>
      </c>
      <c r="E330" t="s">
        <v>2399</v>
      </c>
    </row>
    <row r="331" spans="1:5" x14ac:dyDescent="0.25">
      <c r="A331" t="s">
        <v>2400</v>
      </c>
      <c r="B331" t="s">
        <v>2401</v>
      </c>
      <c r="D331" t="s">
        <v>2402</v>
      </c>
      <c r="E331" t="s">
        <v>2403</v>
      </c>
    </row>
    <row r="332" spans="1:5" x14ac:dyDescent="0.25">
      <c r="A332" t="s">
        <v>2404</v>
      </c>
      <c r="B332" t="s">
        <v>2405</v>
      </c>
      <c r="D332" t="s">
        <v>2406</v>
      </c>
      <c r="E332" t="s">
        <v>2407</v>
      </c>
    </row>
    <row r="333" spans="1:5" x14ac:dyDescent="0.25">
      <c r="D333" t="s">
        <v>2408</v>
      </c>
      <c r="E333" t="s">
        <v>2409</v>
      </c>
    </row>
    <row r="334" spans="1:5" x14ac:dyDescent="0.25">
      <c r="D334" t="s">
        <v>2410</v>
      </c>
      <c r="E334" t="s">
        <v>2411</v>
      </c>
    </row>
    <row r="335" spans="1:5" x14ac:dyDescent="0.25">
      <c r="D335" t="s">
        <v>2412</v>
      </c>
      <c r="E335" t="s">
        <v>2413</v>
      </c>
    </row>
    <row r="336" spans="1:5" x14ac:dyDescent="0.25">
      <c r="D336" t="s">
        <v>2414</v>
      </c>
      <c r="E336" t="s">
        <v>2415</v>
      </c>
    </row>
    <row r="337" spans="4:5" x14ac:dyDescent="0.25">
      <c r="D337" t="s">
        <v>2416</v>
      </c>
      <c r="E337" t="s">
        <v>2417</v>
      </c>
    </row>
    <row r="338" spans="4:5" x14ac:dyDescent="0.25">
      <c r="D338" t="s">
        <v>2418</v>
      </c>
      <c r="E338" t="s">
        <v>2419</v>
      </c>
    </row>
    <row r="339" spans="4:5" x14ac:dyDescent="0.25">
      <c r="D339" t="s">
        <v>2420</v>
      </c>
      <c r="E339" t="s">
        <v>2421</v>
      </c>
    </row>
    <row r="340" spans="4:5" x14ac:dyDescent="0.25">
      <c r="D340" t="s">
        <v>2422</v>
      </c>
      <c r="E340" t="s">
        <v>2423</v>
      </c>
    </row>
    <row r="341" spans="4:5" x14ac:dyDescent="0.25">
      <c r="D341" t="s">
        <v>2424</v>
      </c>
      <c r="E341" t="s">
        <v>2425</v>
      </c>
    </row>
    <row r="342" spans="4:5" x14ac:dyDescent="0.25">
      <c r="D342" t="s">
        <v>2426</v>
      </c>
      <c r="E342" t="s">
        <v>2427</v>
      </c>
    </row>
    <row r="343" spans="4:5" x14ac:dyDescent="0.25">
      <c r="D343" t="s">
        <v>2428</v>
      </c>
      <c r="E343" t="s">
        <v>2429</v>
      </c>
    </row>
    <row r="344" spans="4:5" x14ac:dyDescent="0.25">
      <c r="D344" t="s">
        <v>2430</v>
      </c>
      <c r="E344" t="s">
        <v>2431</v>
      </c>
    </row>
    <row r="345" spans="4:5" x14ac:dyDescent="0.25">
      <c r="D345" t="s">
        <v>2432</v>
      </c>
      <c r="E345" t="s">
        <v>2433</v>
      </c>
    </row>
    <row r="346" spans="4:5" x14ac:dyDescent="0.25">
      <c r="D346" t="s">
        <v>2434</v>
      </c>
      <c r="E346" t="s">
        <v>2435</v>
      </c>
    </row>
    <row r="347" spans="4:5" x14ac:dyDescent="0.25">
      <c r="D347" t="s">
        <v>2436</v>
      </c>
      <c r="E347" t="s">
        <v>2437</v>
      </c>
    </row>
    <row r="348" spans="4:5" x14ac:dyDescent="0.25">
      <c r="D348" t="s">
        <v>2438</v>
      </c>
      <c r="E348" t="s">
        <v>2439</v>
      </c>
    </row>
    <row r="349" spans="4:5" x14ac:dyDescent="0.25">
      <c r="D349" t="s">
        <v>2440</v>
      </c>
      <c r="E349" t="s">
        <v>2441</v>
      </c>
    </row>
    <row r="350" spans="4:5" x14ac:dyDescent="0.25">
      <c r="D350" t="s">
        <v>2442</v>
      </c>
      <c r="E350" t="s">
        <v>2443</v>
      </c>
    </row>
    <row r="351" spans="4:5" x14ac:dyDescent="0.25">
      <c r="D351" t="s">
        <v>2444</v>
      </c>
      <c r="E351" t="s">
        <v>2445</v>
      </c>
    </row>
    <row r="352" spans="4:5" x14ac:dyDescent="0.25">
      <c r="D352" t="s">
        <v>2446</v>
      </c>
      <c r="E352" t="s">
        <v>2447</v>
      </c>
    </row>
    <row r="353" spans="4:5" x14ac:dyDescent="0.25">
      <c r="D353" t="s">
        <v>2448</v>
      </c>
      <c r="E353" t="s">
        <v>2449</v>
      </c>
    </row>
    <row r="354" spans="4:5" x14ac:dyDescent="0.25">
      <c r="D354" t="s">
        <v>2450</v>
      </c>
      <c r="E354" t="s">
        <v>2451</v>
      </c>
    </row>
    <row r="355" spans="4:5" x14ac:dyDescent="0.25">
      <c r="D355" t="s">
        <v>2452</v>
      </c>
      <c r="E355" t="s">
        <v>2453</v>
      </c>
    </row>
    <row r="356" spans="4:5" x14ac:dyDescent="0.25">
      <c r="D356" t="s">
        <v>2454</v>
      </c>
      <c r="E356" t="s">
        <v>2455</v>
      </c>
    </row>
    <row r="357" spans="4:5" x14ac:dyDescent="0.25">
      <c r="D357" t="s">
        <v>2456</v>
      </c>
      <c r="E357" t="s">
        <v>2457</v>
      </c>
    </row>
    <row r="358" spans="4:5" x14ac:dyDescent="0.25">
      <c r="D358" t="s">
        <v>2458</v>
      </c>
      <c r="E358" t="s">
        <v>2459</v>
      </c>
    </row>
    <row r="359" spans="4:5" x14ac:dyDescent="0.25">
      <c r="D359" t="s">
        <v>2460</v>
      </c>
      <c r="E359" t="s">
        <v>2461</v>
      </c>
    </row>
    <row r="360" spans="4:5" x14ac:dyDescent="0.25">
      <c r="D360" t="s">
        <v>2462</v>
      </c>
      <c r="E360" t="s">
        <v>2463</v>
      </c>
    </row>
    <row r="361" spans="4:5" x14ac:dyDescent="0.25">
      <c r="D361" t="s">
        <v>2464</v>
      </c>
      <c r="E361" t="s">
        <v>2465</v>
      </c>
    </row>
    <row r="362" spans="4:5" x14ac:dyDescent="0.25">
      <c r="D362" t="s">
        <v>2466</v>
      </c>
      <c r="E362" t="s">
        <v>2467</v>
      </c>
    </row>
    <row r="363" spans="4:5" x14ac:dyDescent="0.25">
      <c r="D363" t="s">
        <v>2468</v>
      </c>
      <c r="E363" t="s">
        <v>2469</v>
      </c>
    </row>
    <row r="364" spans="4:5" x14ac:dyDescent="0.25">
      <c r="D364" t="s">
        <v>2470</v>
      </c>
      <c r="E364" t="s">
        <v>2471</v>
      </c>
    </row>
    <row r="365" spans="4:5" x14ac:dyDescent="0.25">
      <c r="D365" t="s">
        <v>2472</v>
      </c>
      <c r="E365" t="s">
        <v>2473</v>
      </c>
    </row>
    <row r="366" spans="4:5" x14ac:dyDescent="0.25">
      <c r="D366" t="s">
        <v>2474</v>
      </c>
      <c r="E366" t="s">
        <v>2475</v>
      </c>
    </row>
    <row r="367" spans="4:5" x14ac:dyDescent="0.25">
      <c r="D367" t="s">
        <v>2476</v>
      </c>
      <c r="E367" t="s">
        <v>2477</v>
      </c>
    </row>
    <row r="368" spans="4:5" x14ac:dyDescent="0.25">
      <c r="D368" t="s">
        <v>2478</v>
      </c>
      <c r="E368" t="s">
        <v>2479</v>
      </c>
    </row>
    <row r="369" spans="4:5" x14ac:dyDescent="0.25">
      <c r="D369" t="s">
        <v>2480</v>
      </c>
      <c r="E369" t="s">
        <v>2481</v>
      </c>
    </row>
    <row r="370" spans="4:5" x14ac:dyDescent="0.25">
      <c r="D370" t="s">
        <v>2482</v>
      </c>
      <c r="E370" t="s">
        <v>2483</v>
      </c>
    </row>
    <row r="371" spans="4:5" x14ac:dyDescent="0.25">
      <c r="D371" t="s">
        <v>2484</v>
      </c>
      <c r="E371" t="s">
        <v>2485</v>
      </c>
    </row>
    <row r="372" spans="4:5" x14ac:dyDescent="0.25">
      <c r="D372" t="s">
        <v>2486</v>
      </c>
      <c r="E372" t="s">
        <v>2487</v>
      </c>
    </row>
    <row r="373" spans="4:5" x14ac:dyDescent="0.25">
      <c r="D373" t="s">
        <v>2488</v>
      </c>
      <c r="E373" t="s">
        <v>2489</v>
      </c>
    </row>
    <row r="374" spans="4:5" x14ac:dyDescent="0.25">
      <c r="D374" t="s">
        <v>2490</v>
      </c>
      <c r="E374" t="s">
        <v>2491</v>
      </c>
    </row>
    <row r="375" spans="4:5" x14ac:dyDescent="0.25">
      <c r="D375" t="s">
        <v>2492</v>
      </c>
      <c r="E375" t="s">
        <v>2493</v>
      </c>
    </row>
    <row r="376" spans="4:5" x14ac:dyDescent="0.25">
      <c r="D376" t="s">
        <v>2494</v>
      </c>
      <c r="E376" t="s">
        <v>2495</v>
      </c>
    </row>
    <row r="377" spans="4:5" x14ac:dyDescent="0.25">
      <c r="D377" t="s">
        <v>2496</v>
      </c>
      <c r="E377" t="s">
        <v>2497</v>
      </c>
    </row>
    <row r="378" spans="4:5" x14ac:dyDescent="0.25">
      <c r="D378" t="s">
        <v>2498</v>
      </c>
      <c r="E378" t="s">
        <v>2499</v>
      </c>
    </row>
    <row r="379" spans="4:5" x14ac:dyDescent="0.25">
      <c r="D379" t="s">
        <v>2500</v>
      </c>
      <c r="E379" t="s">
        <v>2501</v>
      </c>
    </row>
    <row r="380" spans="4:5" x14ac:dyDescent="0.25">
      <c r="D380" t="s">
        <v>2502</v>
      </c>
      <c r="E380" t="s">
        <v>2503</v>
      </c>
    </row>
    <row r="381" spans="4:5" x14ac:dyDescent="0.25">
      <c r="D381" t="s">
        <v>2504</v>
      </c>
      <c r="E381" t="s">
        <v>2505</v>
      </c>
    </row>
    <row r="382" spans="4:5" x14ac:dyDescent="0.25">
      <c r="D382" t="s">
        <v>2506</v>
      </c>
      <c r="E382" t="s">
        <v>2507</v>
      </c>
    </row>
    <row r="383" spans="4:5" x14ac:dyDescent="0.25">
      <c r="D383" t="s">
        <v>2508</v>
      </c>
      <c r="E383" t="s">
        <v>2509</v>
      </c>
    </row>
    <row r="384" spans="4:5" x14ac:dyDescent="0.25">
      <c r="D384" t="s">
        <v>2510</v>
      </c>
      <c r="E384" t="s">
        <v>2511</v>
      </c>
    </row>
    <row r="385" spans="4:5" x14ac:dyDescent="0.25">
      <c r="D385" t="s">
        <v>2512</v>
      </c>
      <c r="E385" t="s">
        <v>2513</v>
      </c>
    </row>
    <row r="386" spans="4:5" x14ac:dyDescent="0.25">
      <c r="D386" t="s">
        <v>2514</v>
      </c>
      <c r="E386" t="s">
        <v>2515</v>
      </c>
    </row>
    <row r="387" spans="4:5" x14ac:dyDescent="0.25">
      <c r="D387" t="s">
        <v>2516</v>
      </c>
      <c r="E387" t="s">
        <v>2517</v>
      </c>
    </row>
    <row r="388" spans="4:5" x14ac:dyDescent="0.25">
      <c r="D388" t="s">
        <v>2518</v>
      </c>
      <c r="E388" t="s">
        <v>2519</v>
      </c>
    </row>
    <row r="389" spans="4:5" x14ac:dyDescent="0.25">
      <c r="D389" t="s">
        <v>2520</v>
      </c>
      <c r="E389" t="s">
        <v>2521</v>
      </c>
    </row>
    <row r="390" spans="4:5" x14ac:dyDescent="0.25">
      <c r="D390" t="s">
        <v>2522</v>
      </c>
      <c r="E390" t="s">
        <v>2523</v>
      </c>
    </row>
    <row r="391" spans="4:5" x14ac:dyDescent="0.25">
      <c r="D391" t="s">
        <v>2524</v>
      </c>
      <c r="E391" t="s">
        <v>2525</v>
      </c>
    </row>
    <row r="392" spans="4:5" x14ac:dyDescent="0.25">
      <c r="D392" t="s">
        <v>2526</v>
      </c>
      <c r="E392" t="s">
        <v>2527</v>
      </c>
    </row>
    <row r="393" spans="4:5" x14ac:dyDescent="0.25">
      <c r="D393" t="s">
        <v>2528</v>
      </c>
      <c r="E393" t="s">
        <v>2529</v>
      </c>
    </row>
    <row r="394" spans="4:5" x14ac:dyDescent="0.25">
      <c r="D394" t="s">
        <v>2530</v>
      </c>
      <c r="E394" t="s">
        <v>2531</v>
      </c>
    </row>
    <row r="395" spans="4:5" x14ac:dyDescent="0.25">
      <c r="D395" t="s">
        <v>2532</v>
      </c>
      <c r="E395" t="s">
        <v>2533</v>
      </c>
    </row>
    <row r="396" spans="4:5" x14ac:dyDescent="0.25">
      <c r="D396" t="s">
        <v>2534</v>
      </c>
      <c r="E396" t="s">
        <v>2535</v>
      </c>
    </row>
    <row r="397" spans="4:5" x14ac:dyDescent="0.25">
      <c r="D397" t="s">
        <v>2536</v>
      </c>
      <c r="E397" t="s">
        <v>2537</v>
      </c>
    </row>
    <row r="398" spans="4:5" x14ac:dyDescent="0.25">
      <c r="D398" t="s">
        <v>2538</v>
      </c>
      <c r="E398" t="s">
        <v>2539</v>
      </c>
    </row>
    <row r="399" spans="4:5" x14ac:dyDescent="0.25">
      <c r="D399" t="s">
        <v>2540</v>
      </c>
      <c r="E399" t="s">
        <v>2541</v>
      </c>
    </row>
    <row r="400" spans="4:5" x14ac:dyDescent="0.25">
      <c r="D400" t="s">
        <v>2542</v>
      </c>
      <c r="E400" t="s">
        <v>2543</v>
      </c>
    </row>
    <row r="401" spans="4:5" x14ac:dyDescent="0.25">
      <c r="D401" t="s">
        <v>2544</v>
      </c>
      <c r="E401" t="s">
        <v>2545</v>
      </c>
    </row>
    <row r="402" spans="4:5" x14ac:dyDescent="0.25">
      <c r="D402" t="s">
        <v>2546</v>
      </c>
      <c r="E402" t="s">
        <v>2547</v>
      </c>
    </row>
    <row r="403" spans="4:5" x14ac:dyDescent="0.25">
      <c r="D403" t="s">
        <v>2548</v>
      </c>
      <c r="E403" t="s">
        <v>2549</v>
      </c>
    </row>
    <row r="404" spans="4:5" x14ac:dyDescent="0.25">
      <c r="D404" t="s">
        <v>2550</v>
      </c>
      <c r="E404" t="s">
        <v>2551</v>
      </c>
    </row>
    <row r="405" spans="4:5" x14ac:dyDescent="0.25">
      <c r="D405" t="s">
        <v>2552</v>
      </c>
      <c r="E405" t="s">
        <v>2553</v>
      </c>
    </row>
    <row r="406" spans="4:5" x14ac:dyDescent="0.25">
      <c r="D406" t="s">
        <v>2554</v>
      </c>
      <c r="E406" t="s">
        <v>2555</v>
      </c>
    </row>
    <row r="407" spans="4:5" x14ac:dyDescent="0.25">
      <c r="D407" t="s">
        <v>2556</v>
      </c>
      <c r="E407" t="s">
        <v>2557</v>
      </c>
    </row>
    <row r="408" spans="4:5" x14ac:dyDescent="0.25">
      <c r="D408" t="s">
        <v>2558</v>
      </c>
      <c r="E408" t="s">
        <v>2559</v>
      </c>
    </row>
    <row r="409" spans="4:5" x14ac:dyDescent="0.25">
      <c r="D409" t="s">
        <v>2560</v>
      </c>
      <c r="E409" t="s">
        <v>2561</v>
      </c>
    </row>
    <row r="410" spans="4:5" x14ac:dyDescent="0.25">
      <c r="D410" t="s">
        <v>2562</v>
      </c>
      <c r="E410" t="s">
        <v>2563</v>
      </c>
    </row>
    <row r="411" spans="4:5" x14ac:dyDescent="0.25">
      <c r="D411" t="s">
        <v>2564</v>
      </c>
      <c r="E411" t="s">
        <v>2565</v>
      </c>
    </row>
    <row r="412" spans="4:5" x14ac:dyDescent="0.25">
      <c r="D412" t="s">
        <v>2566</v>
      </c>
      <c r="E412" t="s">
        <v>2567</v>
      </c>
    </row>
    <row r="413" spans="4:5" x14ac:dyDescent="0.25">
      <c r="D413" t="s">
        <v>2568</v>
      </c>
      <c r="E413" t="s">
        <v>2569</v>
      </c>
    </row>
    <row r="414" spans="4:5" x14ac:dyDescent="0.25">
      <c r="D414" t="s">
        <v>2570</v>
      </c>
      <c r="E414" t="s">
        <v>2571</v>
      </c>
    </row>
    <row r="415" spans="4:5" x14ac:dyDescent="0.25">
      <c r="D415" t="s">
        <v>2572</v>
      </c>
      <c r="E415" t="s">
        <v>2573</v>
      </c>
    </row>
    <row r="416" spans="4:5" x14ac:dyDescent="0.25">
      <c r="D416" t="s">
        <v>2574</v>
      </c>
      <c r="E416" t="s">
        <v>2575</v>
      </c>
    </row>
    <row r="417" spans="4:5" x14ac:dyDescent="0.25">
      <c r="D417" t="s">
        <v>2576</v>
      </c>
      <c r="E417" t="s">
        <v>2577</v>
      </c>
    </row>
    <row r="418" spans="4:5" x14ac:dyDescent="0.25">
      <c r="D418" t="s">
        <v>2578</v>
      </c>
      <c r="E418" t="s">
        <v>2579</v>
      </c>
    </row>
    <row r="419" spans="4:5" x14ac:dyDescent="0.25">
      <c r="D419" t="s">
        <v>2580</v>
      </c>
      <c r="E419" t="s">
        <v>2581</v>
      </c>
    </row>
    <row r="420" spans="4:5" x14ac:dyDescent="0.25">
      <c r="D420" t="s">
        <v>2582</v>
      </c>
      <c r="E420" t="s">
        <v>2583</v>
      </c>
    </row>
    <row r="421" spans="4:5" x14ac:dyDescent="0.25">
      <c r="D421" t="s">
        <v>2584</v>
      </c>
      <c r="E421" t="s">
        <v>2585</v>
      </c>
    </row>
    <row r="422" spans="4:5" x14ac:dyDescent="0.25">
      <c r="D422" t="s">
        <v>2586</v>
      </c>
      <c r="E422" t="s">
        <v>2587</v>
      </c>
    </row>
    <row r="423" spans="4:5" x14ac:dyDescent="0.25">
      <c r="D423" t="s">
        <v>2588</v>
      </c>
      <c r="E423" t="s">
        <v>2589</v>
      </c>
    </row>
    <row r="424" spans="4:5" x14ac:dyDescent="0.25">
      <c r="D424" t="s">
        <v>2590</v>
      </c>
      <c r="E424" t="s">
        <v>2591</v>
      </c>
    </row>
    <row r="425" spans="4:5" x14ac:dyDescent="0.25">
      <c r="D425" t="s">
        <v>2592</v>
      </c>
      <c r="E425" t="s">
        <v>2593</v>
      </c>
    </row>
    <row r="426" spans="4:5" x14ac:dyDescent="0.25">
      <c r="D426" t="s">
        <v>2594</v>
      </c>
      <c r="E426" t="s">
        <v>2595</v>
      </c>
    </row>
    <row r="427" spans="4:5" x14ac:dyDescent="0.25">
      <c r="D427" t="s">
        <v>2596</v>
      </c>
      <c r="E427" t="s">
        <v>2597</v>
      </c>
    </row>
    <row r="428" spans="4:5" x14ac:dyDescent="0.25">
      <c r="D428" t="s">
        <v>2598</v>
      </c>
      <c r="E428" t="s">
        <v>2599</v>
      </c>
    </row>
    <row r="429" spans="4:5" x14ac:dyDescent="0.25">
      <c r="D429" t="s">
        <v>2600</v>
      </c>
      <c r="E429" t="s">
        <v>2601</v>
      </c>
    </row>
    <row r="430" spans="4:5" x14ac:dyDescent="0.25">
      <c r="D430" t="s">
        <v>2602</v>
      </c>
      <c r="E430" t="s">
        <v>2603</v>
      </c>
    </row>
    <row r="431" spans="4:5" x14ac:dyDescent="0.25">
      <c r="D431" t="s">
        <v>2604</v>
      </c>
      <c r="E431" t="s">
        <v>2605</v>
      </c>
    </row>
    <row r="432" spans="4:5" x14ac:dyDescent="0.25">
      <c r="D432" t="s">
        <v>2606</v>
      </c>
      <c r="E432" t="s">
        <v>2607</v>
      </c>
    </row>
    <row r="433" spans="4:5" x14ac:dyDescent="0.25">
      <c r="D433" t="s">
        <v>2608</v>
      </c>
      <c r="E433" t="s">
        <v>2609</v>
      </c>
    </row>
    <row r="434" spans="4:5" x14ac:dyDescent="0.25">
      <c r="D434" t="s">
        <v>2610</v>
      </c>
      <c r="E434" t="s">
        <v>2611</v>
      </c>
    </row>
    <row r="435" spans="4:5" x14ac:dyDescent="0.25">
      <c r="D435" t="s">
        <v>2612</v>
      </c>
      <c r="E435" t="s">
        <v>2613</v>
      </c>
    </row>
    <row r="436" spans="4:5" x14ac:dyDescent="0.25">
      <c r="D436" t="s">
        <v>2614</v>
      </c>
      <c r="E436" t="s">
        <v>2615</v>
      </c>
    </row>
    <row r="437" spans="4:5" x14ac:dyDescent="0.25">
      <c r="D437" t="s">
        <v>2616</v>
      </c>
      <c r="E437" t="s">
        <v>2617</v>
      </c>
    </row>
    <row r="438" spans="4:5" x14ac:dyDescent="0.25">
      <c r="D438" t="s">
        <v>2618</v>
      </c>
      <c r="E438" t="s">
        <v>2619</v>
      </c>
    </row>
    <row r="439" spans="4:5" x14ac:dyDescent="0.25">
      <c r="D439" t="s">
        <v>2620</v>
      </c>
      <c r="E439" t="s">
        <v>2621</v>
      </c>
    </row>
    <row r="440" spans="4:5" x14ac:dyDescent="0.25">
      <c r="D440" t="s">
        <v>2622</v>
      </c>
      <c r="E440" t="s">
        <v>2623</v>
      </c>
    </row>
    <row r="441" spans="4:5" x14ac:dyDescent="0.25">
      <c r="D441" t="s">
        <v>2624</v>
      </c>
      <c r="E441" t="s">
        <v>2625</v>
      </c>
    </row>
    <row r="442" spans="4:5" x14ac:dyDescent="0.25">
      <c r="D442" t="s">
        <v>2626</v>
      </c>
      <c r="E442" t="s">
        <v>2627</v>
      </c>
    </row>
    <row r="443" spans="4:5" x14ac:dyDescent="0.25">
      <c r="D443" t="s">
        <v>2628</v>
      </c>
      <c r="E443" t="s">
        <v>2629</v>
      </c>
    </row>
    <row r="444" spans="4:5" x14ac:dyDescent="0.25">
      <c r="D444" t="s">
        <v>2630</v>
      </c>
      <c r="E444" t="s">
        <v>2631</v>
      </c>
    </row>
    <row r="445" spans="4:5" x14ac:dyDescent="0.25">
      <c r="D445" t="s">
        <v>2632</v>
      </c>
      <c r="E445" t="s">
        <v>2633</v>
      </c>
    </row>
    <row r="446" spans="4:5" x14ac:dyDescent="0.25">
      <c r="D446" t="s">
        <v>2634</v>
      </c>
      <c r="E446" t="s">
        <v>2635</v>
      </c>
    </row>
    <row r="447" spans="4:5" x14ac:dyDescent="0.25">
      <c r="D447" t="s">
        <v>2636</v>
      </c>
      <c r="E447" t="s">
        <v>2637</v>
      </c>
    </row>
    <row r="448" spans="4:5" x14ac:dyDescent="0.25">
      <c r="D448" t="s">
        <v>2638</v>
      </c>
      <c r="E448" t="s">
        <v>2639</v>
      </c>
    </row>
    <row r="449" spans="4:5" x14ac:dyDescent="0.25">
      <c r="D449" t="s">
        <v>2640</v>
      </c>
      <c r="E449" t="s">
        <v>2641</v>
      </c>
    </row>
    <row r="450" spans="4:5" x14ac:dyDescent="0.25">
      <c r="D450" t="s">
        <v>2642</v>
      </c>
      <c r="E450" t="s">
        <v>2643</v>
      </c>
    </row>
    <row r="451" spans="4:5" x14ac:dyDescent="0.25">
      <c r="D451" t="s">
        <v>2644</v>
      </c>
      <c r="E451" t="s">
        <v>2645</v>
      </c>
    </row>
    <row r="452" spans="4:5" x14ac:dyDescent="0.25">
      <c r="D452" t="s">
        <v>2646</v>
      </c>
      <c r="E452" t="s">
        <v>2647</v>
      </c>
    </row>
    <row r="453" spans="4:5" x14ac:dyDescent="0.25">
      <c r="D453" t="s">
        <v>2648</v>
      </c>
      <c r="E453" t="s">
        <v>2649</v>
      </c>
    </row>
    <row r="454" spans="4:5" x14ac:dyDescent="0.25">
      <c r="D454" t="s">
        <v>2650</v>
      </c>
      <c r="E454" t="s">
        <v>2651</v>
      </c>
    </row>
    <row r="455" spans="4:5" x14ac:dyDescent="0.25">
      <c r="D455" t="s">
        <v>2652</v>
      </c>
      <c r="E455" t="s">
        <v>2653</v>
      </c>
    </row>
    <row r="456" spans="4:5" x14ac:dyDescent="0.25">
      <c r="D456" t="s">
        <v>2654</v>
      </c>
      <c r="E456" t="s">
        <v>2655</v>
      </c>
    </row>
    <row r="457" spans="4:5" x14ac:dyDescent="0.25">
      <c r="D457" t="s">
        <v>2656</v>
      </c>
      <c r="E457" t="s">
        <v>2657</v>
      </c>
    </row>
    <row r="458" spans="4:5" x14ac:dyDescent="0.25">
      <c r="D458" t="s">
        <v>2658</v>
      </c>
      <c r="E458" t="s">
        <v>2659</v>
      </c>
    </row>
    <row r="459" spans="4:5" x14ac:dyDescent="0.25">
      <c r="D459" t="s">
        <v>2660</v>
      </c>
      <c r="E459" t="s">
        <v>2661</v>
      </c>
    </row>
    <row r="460" spans="4:5" x14ac:dyDescent="0.25">
      <c r="D460" t="s">
        <v>2662</v>
      </c>
      <c r="E460" t="s">
        <v>2663</v>
      </c>
    </row>
    <row r="461" spans="4:5" x14ac:dyDescent="0.25">
      <c r="D461" t="s">
        <v>2664</v>
      </c>
      <c r="E461" t="s">
        <v>2665</v>
      </c>
    </row>
    <row r="462" spans="4:5" x14ac:dyDescent="0.25">
      <c r="D462" t="s">
        <v>2666</v>
      </c>
      <c r="E462" t="s">
        <v>2667</v>
      </c>
    </row>
    <row r="463" spans="4:5" x14ac:dyDescent="0.25">
      <c r="D463" t="s">
        <v>2668</v>
      </c>
      <c r="E463" t="s">
        <v>2669</v>
      </c>
    </row>
    <row r="464" spans="4:5" x14ac:dyDescent="0.25">
      <c r="D464" t="s">
        <v>2670</v>
      </c>
      <c r="E464" t="s">
        <v>2671</v>
      </c>
    </row>
    <row r="465" spans="4:5" x14ac:dyDescent="0.25">
      <c r="D465" t="s">
        <v>2672</v>
      </c>
      <c r="E465" t="s">
        <v>2673</v>
      </c>
    </row>
    <row r="466" spans="4:5" x14ac:dyDescent="0.25">
      <c r="D466" t="s">
        <v>2674</v>
      </c>
      <c r="E466" t="s">
        <v>2675</v>
      </c>
    </row>
    <row r="467" spans="4:5" x14ac:dyDescent="0.25">
      <c r="D467" t="s">
        <v>2676</v>
      </c>
      <c r="E467" t="s">
        <v>2677</v>
      </c>
    </row>
    <row r="468" spans="4:5" x14ac:dyDescent="0.25">
      <c r="D468" t="s">
        <v>2678</v>
      </c>
      <c r="E468" t="s">
        <v>2679</v>
      </c>
    </row>
    <row r="469" spans="4:5" x14ac:dyDescent="0.25">
      <c r="D469" t="s">
        <v>2680</v>
      </c>
      <c r="E469" t="s">
        <v>2681</v>
      </c>
    </row>
    <row r="470" spans="4:5" x14ac:dyDescent="0.25">
      <c r="D470" t="s">
        <v>2682</v>
      </c>
      <c r="E470" t="s">
        <v>2683</v>
      </c>
    </row>
    <row r="471" spans="4:5" x14ac:dyDescent="0.25">
      <c r="D471" t="s">
        <v>2684</v>
      </c>
      <c r="E471" t="s">
        <v>2685</v>
      </c>
    </row>
    <row r="472" spans="4:5" x14ac:dyDescent="0.25">
      <c r="D472" t="s">
        <v>2686</v>
      </c>
      <c r="E472" t="s">
        <v>2687</v>
      </c>
    </row>
    <row r="473" spans="4:5" x14ac:dyDescent="0.25">
      <c r="D473" t="s">
        <v>2688</v>
      </c>
      <c r="E473" t="s">
        <v>2689</v>
      </c>
    </row>
    <row r="474" spans="4:5" x14ac:dyDescent="0.25">
      <c r="D474" t="s">
        <v>2690</v>
      </c>
      <c r="E474" t="s">
        <v>2691</v>
      </c>
    </row>
    <row r="475" spans="4:5" x14ac:dyDescent="0.25">
      <c r="D475" t="s">
        <v>2692</v>
      </c>
      <c r="E475" t="s">
        <v>2693</v>
      </c>
    </row>
    <row r="476" spans="4:5" x14ac:dyDescent="0.25">
      <c r="D476" t="s">
        <v>2694</v>
      </c>
      <c r="E476" t="s">
        <v>2695</v>
      </c>
    </row>
    <row r="477" spans="4:5" x14ac:dyDescent="0.25">
      <c r="D477" t="s">
        <v>2696</v>
      </c>
      <c r="E477" t="s">
        <v>2697</v>
      </c>
    </row>
    <row r="478" spans="4:5" x14ac:dyDescent="0.25">
      <c r="D478" t="s">
        <v>2698</v>
      </c>
      <c r="E478" t="s">
        <v>2699</v>
      </c>
    </row>
    <row r="479" spans="4:5" x14ac:dyDescent="0.25">
      <c r="D479" t="s">
        <v>2700</v>
      </c>
      <c r="E479" t="s">
        <v>2701</v>
      </c>
    </row>
    <row r="480" spans="4:5" x14ac:dyDescent="0.25">
      <c r="D480" t="s">
        <v>2702</v>
      </c>
      <c r="E480" t="s">
        <v>2703</v>
      </c>
    </row>
    <row r="481" spans="4:5" x14ac:dyDescent="0.25">
      <c r="D481" t="s">
        <v>2704</v>
      </c>
      <c r="E481" t="s">
        <v>2705</v>
      </c>
    </row>
    <row r="482" spans="4:5" x14ac:dyDescent="0.25">
      <c r="D482" t="s">
        <v>2706</v>
      </c>
      <c r="E482" t="s">
        <v>2707</v>
      </c>
    </row>
    <row r="483" spans="4:5" x14ac:dyDescent="0.25">
      <c r="D483" t="s">
        <v>2708</v>
      </c>
      <c r="E483" t="s">
        <v>2709</v>
      </c>
    </row>
    <row r="484" spans="4:5" x14ac:dyDescent="0.25">
      <c r="D484" t="s">
        <v>2710</v>
      </c>
      <c r="E484" t="s">
        <v>2711</v>
      </c>
    </row>
    <row r="485" spans="4:5" x14ac:dyDescent="0.25">
      <c r="D485" t="s">
        <v>2712</v>
      </c>
      <c r="E485" t="s">
        <v>2713</v>
      </c>
    </row>
    <row r="486" spans="4:5" x14ac:dyDescent="0.25">
      <c r="D486" t="s">
        <v>2714</v>
      </c>
      <c r="E486" t="s">
        <v>2715</v>
      </c>
    </row>
    <row r="487" spans="4:5" x14ac:dyDescent="0.25">
      <c r="D487" t="s">
        <v>2716</v>
      </c>
      <c r="E487" t="s">
        <v>2717</v>
      </c>
    </row>
    <row r="488" spans="4:5" x14ac:dyDescent="0.25">
      <c r="D488" t="s">
        <v>2718</v>
      </c>
      <c r="E488" t="s">
        <v>2719</v>
      </c>
    </row>
    <row r="489" spans="4:5" x14ac:dyDescent="0.25">
      <c r="D489" t="s">
        <v>2720</v>
      </c>
      <c r="E489" t="s">
        <v>2721</v>
      </c>
    </row>
    <row r="490" spans="4:5" x14ac:dyDescent="0.25">
      <c r="D490" t="s">
        <v>2722</v>
      </c>
      <c r="E490" t="s">
        <v>2723</v>
      </c>
    </row>
    <row r="491" spans="4:5" x14ac:dyDescent="0.25">
      <c r="D491" t="s">
        <v>2724</v>
      </c>
      <c r="E491" t="s">
        <v>2725</v>
      </c>
    </row>
    <row r="492" spans="4:5" x14ac:dyDescent="0.25">
      <c r="D492" t="s">
        <v>2726</v>
      </c>
      <c r="E492" t="s">
        <v>2727</v>
      </c>
    </row>
    <row r="493" spans="4:5" x14ac:dyDescent="0.25">
      <c r="D493" t="s">
        <v>2728</v>
      </c>
      <c r="E493" t="s">
        <v>2729</v>
      </c>
    </row>
    <row r="494" spans="4:5" x14ac:dyDescent="0.25">
      <c r="D494" t="s">
        <v>2730</v>
      </c>
      <c r="E494" t="s">
        <v>2731</v>
      </c>
    </row>
    <row r="495" spans="4:5" x14ac:dyDescent="0.25">
      <c r="D495" t="s">
        <v>2732</v>
      </c>
      <c r="E495" t="s">
        <v>2733</v>
      </c>
    </row>
    <row r="496" spans="4:5" x14ac:dyDescent="0.25">
      <c r="D496" t="s">
        <v>2734</v>
      </c>
      <c r="E496" t="s">
        <v>2735</v>
      </c>
    </row>
    <row r="497" spans="4:5" x14ac:dyDescent="0.25">
      <c r="D497" t="s">
        <v>2736</v>
      </c>
      <c r="E497" t="s">
        <v>2737</v>
      </c>
    </row>
    <row r="498" spans="4:5" x14ac:dyDescent="0.25">
      <c r="D498" t="s">
        <v>2738</v>
      </c>
      <c r="E498" t="s">
        <v>2739</v>
      </c>
    </row>
    <row r="499" spans="4:5" x14ac:dyDescent="0.25">
      <c r="D499" t="s">
        <v>2740</v>
      </c>
      <c r="E499" t="s">
        <v>2741</v>
      </c>
    </row>
    <row r="500" spans="4:5" x14ac:dyDescent="0.25">
      <c r="D500" t="s">
        <v>2742</v>
      </c>
      <c r="E500" t="s">
        <v>2743</v>
      </c>
    </row>
    <row r="501" spans="4:5" x14ac:dyDescent="0.25">
      <c r="D501" t="s">
        <v>2744</v>
      </c>
      <c r="E501" t="s">
        <v>2745</v>
      </c>
    </row>
    <row r="502" spans="4:5" x14ac:dyDescent="0.25">
      <c r="D502" t="s">
        <v>2746</v>
      </c>
      <c r="E502" t="s">
        <v>2747</v>
      </c>
    </row>
    <row r="503" spans="4:5" x14ac:dyDescent="0.25">
      <c r="D503" t="s">
        <v>2748</v>
      </c>
      <c r="E503" t="s">
        <v>2749</v>
      </c>
    </row>
    <row r="504" spans="4:5" x14ac:dyDescent="0.25">
      <c r="D504" t="s">
        <v>2750</v>
      </c>
      <c r="E504" t="s">
        <v>2751</v>
      </c>
    </row>
    <row r="505" spans="4:5" x14ac:dyDescent="0.25">
      <c r="D505" t="s">
        <v>2752</v>
      </c>
      <c r="E505" t="s">
        <v>2753</v>
      </c>
    </row>
    <row r="506" spans="4:5" x14ac:dyDescent="0.25">
      <c r="D506" t="s">
        <v>2754</v>
      </c>
      <c r="E506" t="s">
        <v>2755</v>
      </c>
    </row>
    <row r="507" spans="4:5" x14ac:dyDescent="0.25">
      <c r="D507" t="s">
        <v>2756</v>
      </c>
      <c r="E507" t="s">
        <v>2757</v>
      </c>
    </row>
    <row r="508" spans="4:5" x14ac:dyDescent="0.25">
      <c r="D508" t="s">
        <v>2758</v>
      </c>
      <c r="E508" t="s">
        <v>2759</v>
      </c>
    </row>
    <row r="509" spans="4:5" x14ac:dyDescent="0.25">
      <c r="D509" t="s">
        <v>2760</v>
      </c>
      <c r="E509" t="s">
        <v>2761</v>
      </c>
    </row>
    <row r="510" spans="4:5" x14ac:dyDescent="0.25">
      <c r="D510" t="s">
        <v>2762</v>
      </c>
      <c r="E510" t="s">
        <v>2763</v>
      </c>
    </row>
    <row r="511" spans="4:5" x14ac:dyDescent="0.25">
      <c r="D511" t="s">
        <v>2764</v>
      </c>
      <c r="E511" t="s">
        <v>2765</v>
      </c>
    </row>
    <row r="512" spans="4:5" x14ac:dyDescent="0.25">
      <c r="D512" t="s">
        <v>2766</v>
      </c>
      <c r="E512" t="s">
        <v>2767</v>
      </c>
    </row>
    <row r="513" spans="4:5" x14ac:dyDescent="0.25">
      <c r="D513" t="s">
        <v>2768</v>
      </c>
      <c r="E513" t="s">
        <v>2769</v>
      </c>
    </row>
    <row r="514" spans="4:5" x14ac:dyDescent="0.25">
      <c r="D514" t="s">
        <v>2770</v>
      </c>
      <c r="E514" t="s">
        <v>2771</v>
      </c>
    </row>
    <row r="515" spans="4:5" x14ac:dyDescent="0.25">
      <c r="D515" t="s">
        <v>2772</v>
      </c>
      <c r="E515" t="s">
        <v>2773</v>
      </c>
    </row>
    <row r="516" spans="4:5" x14ac:dyDescent="0.25">
      <c r="D516" t="s">
        <v>2774</v>
      </c>
      <c r="E516" t="s">
        <v>2775</v>
      </c>
    </row>
    <row r="517" spans="4:5" x14ac:dyDescent="0.25">
      <c r="D517" t="s">
        <v>2776</v>
      </c>
      <c r="E517" t="s">
        <v>2777</v>
      </c>
    </row>
    <row r="518" spans="4:5" x14ac:dyDescent="0.25">
      <c r="D518" t="s">
        <v>2778</v>
      </c>
      <c r="E518" t="s">
        <v>2779</v>
      </c>
    </row>
    <row r="519" spans="4:5" x14ac:dyDescent="0.25">
      <c r="D519" t="s">
        <v>2780</v>
      </c>
      <c r="E519" t="s">
        <v>2781</v>
      </c>
    </row>
    <row r="520" spans="4:5" x14ac:dyDescent="0.25">
      <c r="D520" t="s">
        <v>2782</v>
      </c>
      <c r="E520" t="s">
        <v>2783</v>
      </c>
    </row>
    <row r="521" spans="4:5" x14ac:dyDescent="0.25">
      <c r="D521" t="s">
        <v>2784</v>
      </c>
      <c r="E521" t="s">
        <v>2785</v>
      </c>
    </row>
    <row r="522" spans="4:5" x14ac:dyDescent="0.25">
      <c r="D522" t="s">
        <v>2786</v>
      </c>
      <c r="E522" t="s">
        <v>2787</v>
      </c>
    </row>
    <row r="523" spans="4:5" x14ac:dyDescent="0.25">
      <c r="D523" t="s">
        <v>2788</v>
      </c>
      <c r="E523" t="s">
        <v>2789</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2BF1A-FAC1-4EE1-9BE6-0E1945AAEFEA}">
  <dimension ref="A1:N61"/>
  <sheetViews>
    <sheetView workbookViewId="0">
      <selection activeCell="F26" sqref="F26"/>
    </sheetView>
  </sheetViews>
  <sheetFormatPr defaultRowHeight="15" x14ac:dyDescent="0.25"/>
  <cols>
    <col min="3" max="3" width="20.140625" customWidth="1"/>
    <col min="4" max="4" width="14.5703125" customWidth="1"/>
    <col min="5" max="5" width="12.7109375" customWidth="1"/>
    <col min="6" max="6" width="12.85546875" customWidth="1"/>
    <col min="7" max="7" width="35.42578125" customWidth="1"/>
    <col min="9" max="9" width="8.85546875" style="3"/>
    <col min="11" max="11" width="12.7109375" customWidth="1"/>
    <col min="12" max="14" width="8.85546875" style="4"/>
  </cols>
  <sheetData>
    <row r="1" spans="1:14" x14ac:dyDescent="0.25">
      <c r="A1" t="s">
        <v>2790</v>
      </c>
      <c r="B1" t="s">
        <v>2791</v>
      </c>
      <c r="D1" t="s">
        <v>2792</v>
      </c>
      <c r="E1" t="s">
        <v>2793</v>
      </c>
      <c r="F1" t="s">
        <v>2794</v>
      </c>
      <c r="G1" t="s">
        <v>2795</v>
      </c>
      <c r="H1" t="s">
        <v>2</v>
      </c>
      <c r="I1" s="3" t="s">
        <v>2796</v>
      </c>
      <c r="K1" t="s">
        <v>2797</v>
      </c>
      <c r="L1" s="4" t="s">
        <v>2798</v>
      </c>
      <c r="M1" s="4" t="s">
        <v>2799</v>
      </c>
    </row>
    <row r="2" spans="1:14" x14ac:dyDescent="0.25">
      <c r="A2" t="s">
        <v>2800</v>
      </c>
      <c r="B2" t="s">
        <v>68</v>
      </c>
      <c r="D2" t="s">
        <v>83</v>
      </c>
      <c r="E2" t="s">
        <v>2801</v>
      </c>
      <c r="F2" t="s">
        <v>2802</v>
      </c>
      <c r="G2" t="s">
        <v>23</v>
      </c>
      <c r="H2" s="2">
        <v>46023</v>
      </c>
      <c r="I2" s="3">
        <v>46023</v>
      </c>
      <c r="K2" t="s">
        <v>2803</v>
      </c>
      <c r="L2" s="4">
        <v>0.29166666666666669</v>
      </c>
      <c r="M2" s="4">
        <v>0.41597222222222219</v>
      </c>
      <c r="N2" s="4">
        <v>4.5138888888888888E-2</v>
      </c>
    </row>
    <row r="3" spans="1:14" x14ac:dyDescent="0.25">
      <c r="A3" t="s">
        <v>2804</v>
      </c>
      <c r="B3" t="s">
        <v>69</v>
      </c>
      <c r="D3" t="s">
        <v>84</v>
      </c>
      <c r="E3" t="s">
        <v>91</v>
      </c>
      <c r="F3" t="s">
        <v>2805</v>
      </c>
      <c r="G3" t="s">
        <v>24</v>
      </c>
      <c r="H3" s="2">
        <v>46054</v>
      </c>
      <c r="I3" s="3">
        <v>46388</v>
      </c>
      <c r="K3" t="s">
        <v>2806</v>
      </c>
      <c r="L3" s="4">
        <v>0.41666666666666669</v>
      </c>
      <c r="M3" s="4">
        <v>0.4993055555555555</v>
      </c>
      <c r="N3" s="4">
        <v>4.5138888888888888E-2</v>
      </c>
    </row>
    <row r="4" spans="1:14" x14ac:dyDescent="0.25">
      <c r="A4" t="s">
        <v>2807</v>
      </c>
      <c r="B4" t="s">
        <v>70</v>
      </c>
      <c r="D4" t="s">
        <v>85</v>
      </c>
      <c r="E4" t="s">
        <v>92</v>
      </c>
      <c r="F4" t="s">
        <v>2808</v>
      </c>
      <c r="G4" t="s">
        <v>25</v>
      </c>
      <c r="H4" s="2">
        <v>46082</v>
      </c>
      <c r="I4" s="3">
        <v>46753</v>
      </c>
      <c r="K4" t="s">
        <v>2809</v>
      </c>
      <c r="L4" s="4">
        <v>0.5</v>
      </c>
      <c r="M4" s="4">
        <v>0.56180555555555556</v>
      </c>
      <c r="N4" s="4">
        <v>4.5138888888888888E-2</v>
      </c>
    </row>
    <row r="5" spans="1:14" x14ac:dyDescent="0.25">
      <c r="B5" t="s">
        <v>71</v>
      </c>
      <c r="D5" t="s">
        <v>86</v>
      </c>
      <c r="E5" t="s">
        <v>2810</v>
      </c>
      <c r="G5" t="s">
        <v>26</v>
      </c>
      <c r="H5" s="2">
        <v>46113</v>
      </c>
      <c r="I5" s="3">
        <v>47119</v>
      </c>
      <c r="K5" t="s">
        <v>2811</v>
      </c>
      <c r="L5" s="4">
        <v>0.5625</v>
      </c>
      <c r="M5" s="4">
        <v>0.62430555555555556</v>
      </c>
      <c r="N5" s="4">
        <v>4.5138888888888888E-2</v>
      </c>
    </row>
    <row r="6" spans="1:14" x14ac:dyDescent="0.25">
      <c r="B6" t="s">
        <v>72</v>
      </c>
      <c r="D6" t="s">
        <v>82</v>
      </c>
      <c r="E6" t="s">
        <v>2812</v>
      </c>
      <c r="G6" t="s">
        <v>27</v>
      </c>
      <c r="H6" s="2">
        <v>46143</v>
      </c>
      <c r="I6" s="3">
        <v>47484</v>
      </c>
      <c r="K6" t="s">
        <v>2813</v>
      </c>
      <c r="L6" s="4">
        <v>0.625</v>
      </c>
      <c r="M6" s="4">
        <v>0.70763888888888893</v>
      </c>
      <c r="N6" s="4">
        <v>4.5138888888888888E-2</v>
      </c>
    </row>
    <row r="7" spans="1:14" x14ac:dyDescent="0.25">
      <c r="B7" t="s">
        <v>73</v>
      </c>
      <c r="D7" t="s">
        <v>87</v>
      </c>
      <c r="E7" t="s">
        <v>2814</v>
      </c>
      <c r="G7" t="s">
        <v>28</v>
      </c>
      <c r="H7" s="2">
        <v>46174</v>
      </c>
      <c r="K7" t="s">
        <v>2815</v>
      </c>
      <c r="L7" s="4">
        <v>0.70833333333333337</v>
      </c>
      <c r="M7" s="4">
        <v>0.83263888888888893</v>
      </c>
      <c r="N7" s="4">
        <v>4.5138888888888888E-2</v>
      </c>
    </row>
    <row r="8" spans="1:14" x14ac:dyDescent="0.25">
      <c r="B8" t="s">
        <v>74</v>
      </c>
      <c r="D8" t="s">
        <v>32</v>
      </c>
      <c r="E8" t="s">
        <v>2816</v>
      </c>
      <c r="G8" t="s">
        <v>29</v>
      </c>
      <c r="H8" s="2">
        <v>46204</v>
      </c>
      <c r="K8" t="s">
        <v>2817</v>
      </c>
      <c r="L8" s="4">
        <v>0.83333333333333337</v>
      </c>
      <c r="M8" s="4">
        <v>0.95763888888888893</v>
      </c>
      <c r="N8" s="4">
        <v>4.5138888888888888E-2</v>
      </c>
    </row>
    <row r="9" spans="1:14" x14ac:dyDescent="0.25">
      <c r="B9" t="s">
        <v>75</v>
      </c>
      <c r="G9" t="s">
        <v>2818</v>
      </c>
      <c r="H9" s="2">
        <v>46235</v>
      </c>
      <c r="K9" t="s">
        <v>2819</v>
      </c>
      <c r="L9" s="4">
        <v>0.95833333333333337</v>
      </c>
      <c r="M9" s="4">
        <v>0.99930555555555556</v>
      </c>
      <c r="N9" s="4">
        <v>4.5138888888888888E-2</v>
      </c>
    </row>
    <row r="10" spans="1:14" x14ac:dyDescent="0.25">
      <c r="B10" t="s">
        <v>76</v>
      </c>
      <c r="H10" s="2">
        <v>46266</v>
      </c>
      <c r="K10" t="s">
        <v>2819</v>
      </c>
      <c r="L10" s="4">
        <v>0</v>
      </c>
      <c r="M10" s="4">
        <v>4.0972222222222222E-2</v>
      </c>
      <c r="N10" s="4">
        <v>4.5138888888888888E-2</v>
      </c>
    </row>
    <row r="11" spans="1:14" x14ac:dyDescent="0.25">
      <c r="B11" t="s">
        <v>77</v>
      </c>
      <c r="H11" s="2">
        <v>46296</v>
      </c>
      <c r="K11" t="s">
        <v>2820</v>
      </c>
      <c r="L11" s="4">
        <v>4.1666666666666664E-2</v>
      </c>
      <c r="M11" s="4">
        <v>0.2076388888888889</v>
      </c>
      <c r="N11" s="4">
        <v>4.5138888888888888E-2</v>
      </c>
    </row>
    <row r="12" spans="1:14" x14ac:dyDescent="0.25">
      <c r="B12" t="s">
        <v>32</v>
      </c>
      <c r="H12" s="2">
        <v>46327</v>
      </c>
      <c r="K12" t="s">
        <v>2821</v>
      </c>
      <c r="L12" s="4">
        <v>0.20833333333333334</v>
      </c>
      <c r="M12" s="4">
        <v>0.29097222222222224</v>
      </c>
      <c r="N12" s="4">
        <v>4.5138888888888888E-2</v>
      </c>
    </row>
    <row r="13" spans="1:14" x14ac:dyDescent="0.25">
      <c r="H13" s="2">
        <v>46357</v>
      </c>
    </row>
    <row r="14" spans="1:14" x14ac:dyDescent="0.25">
      <c r="H14" s="2">
        <v>46388</v>
      </c>
    </row>
    <row r="15" spans="1:14" x14ac:dyDescent="0.25">
      <c r="H15" s="2">
        <v>46419</v>
      </c>
    </row>
    <row r="16" spans="1:14" x14ac:dyDescent="0.25">
      <c r="H16" s="2">
        <v>46447</v>
      </c>
    </row>
    <row r="17" spans="8:13" x14ac:dyDescent="0.25">
      <c r="H17" s="2">
        <v>46478</v>
      </c>
    </row>
    <row r="18" spans="8:13" x14ac:dyDescent="0.25">
      <c r="H18" s="2">
        <v>46508</v>
      </c>
    </row>
    <row r="19" spans="8:13" x14ac:dyDescent="0.25">
      <c r="H19" s="2">
        <v>46539</v>
      </c>
    </row>
    <row r="20" spans="8:13" x14ac:dyDescent="0.25">
      <c r="H20" s="2">
        <v>46569</v>
      </c>
    </row>
    <row r="21" spans="8:13" x14ac:dyDescent="0.25">
      <c r="H21" s="2">
        <v>46600</v>
      </c>
    </row>
    <row r="22" spans="8:13" x14ac:dyDescent="0.25">
      <c r="H22" s="2">
        <v>46631</v>
      </c>
    </row>
    <row r="23" spans="8:13" x14ac:dyDescent="0.25">
      <c r="H23" s="2">
        <v>46661</v>
      </c>
    </row>
    <row r="24" spans="8:13" x14ac:dyDescent="0.25">
      <c r="H24" s="2">
        <v>46692</v>
      </c>
    </row>
    <row r="25" spans="8:13" x14ac:dyDescent="0.25">
      <c r="H25" s="2">
        <v>46722</v>
      </c>
    </row>
    <row r="26" spans="8:13" x14ac:dyDescent="0.25">
      <c r="H26" s="2">
        <v>46753</v>
      </c>
    </row>
    <row r="27" spans="8:13" x14ac:dyDescent="0.25">
      <c r="H27" s="2">
        <v>46784</v>
      </c>
    </row>
    <row r="28" spans="8:13" x14ac:dyDescent="0.25">
      <c r="H28" s="2">
        <v>46813</v>
      </c>
    </row>
    <row r="29" spans="8:13" x14ac:dyDescent="0.25">
      <c r="H29" s="2">
        <v>46844</v>
      </c>
    </row>
    <row r="30" spans="8:13" x14ac:dyDescent="0.25">
      <c r="H30" s="2">
        <v>46874</v>
      </c>
    </row>
    <row r="31" spans="8:13" x14ac:dyDescent="0.25">
      <c r="H31" s="2">
        <v>46905</v>
      </c>
    </row>
    <row r="32" spans="8:13" x14ac:dyDescent="0.25">
      <c r="H32" s="2">
        <v>46935</v>
      </c>
    </row>
    <row r="33" spans="8:8" x14ac:dyDescent="0.25">
      <c r="H33" s="2">
        <v>46966</v>
      </c>
    </row>
    <row r="34" spans="8:8" x14ac:dyDescent="0.25">
      <c r="H34" s="2">
        <v>46997</v>
      </c>
    </row>
    <row r="35" spans="8:8" x14ac:dyDescent="0.25">
      <c r="H35" s="2">
        <v>47027</v>
      </c>
    </row>
    <row r="36" spans="8:8" x14ac:dyDescent="0.25">
      <c r="H36" s="2">
        <v>47058</v>
      </c>
    </row>
    <row r="37" spans="8:8" x14ac:dyDescent="0.25">
      <c r="H37" s="2">
        <v>47088</v>
      </c>
    </row>
    <row r="38" spans="8:8" x14ac:dyDescent="0.25">
      <c r="H38" s="2">
        <v>47119</v>
      </c>
    </row>
    <row r="39" spans="8:8" x14ac:dyDescent="0.25">
      <c r="H39" s="2">
        <v>47150</v>
      </c>
    </row>
    <row r="40" spans="8:8" x14ac:dyDescent="0.25">
      <c r="H40" s="2">
        <v>47178</v>
      </c>
    </row>
    <row r="41" spans="8:8" x14ac:dyDescent="0.25">
      <c r="H41" s="2">
        <v>47209</v>
      </c>
    </row>
    <row r="42" spans="8:8" x14ac:dyDescent="0.25">
      <c r="H42" s="2">
        <v>47239</v>
      </c>
    </row>
    <row r="43" spans="8:8" x14ac:dyDescent="0.25">
      <c r="H43" s="2">
        <v>47270</v>
      </c>
    </row>
    <row r="44" spans="8:8" x14ac:dyDescent="0.25">
      <c r="H44" s="2">
        <v>47300</v>
      </c>
    </row>
    <row r="45" spans="8:8" x14ac:dyDescent="0.25">
      <c r="H45" s="2">
        <v>47331</v>
      </c>
    </row>
    <row r="46" spans="8:8" x14ac:dyDescent="0.25">
      <c r="H46" s="2">
        <v>47362</v>
      </c>
    </row>
    <row r="47" spans="8:8" x14ac:dyDescent="0.25">
      <c r="H47" s="2">
        <v>47392</v>
      </c>
    </row>
    <row r="48" spans="8:8" x14ac:dyDescent="0.25">
      <c r="H48" s="2">
        <v>47423</v>
      </c>
    </row>
    <row r="49" spans="8:8" x14ac:dyDescent="0.25">
      <c r="H49" s="2">
        <v>47453</v>
      </c>
    </row>
    <row r="50" spans="8:8" x14ac:dyDescent="0.25">
      <c r="H50" s="2">
        <v>47484</v>
      </c>
    </row>
    <row r="51" spans="8:8" x14ac:dyDescent="0.25">
      <c r="H51" s="2">
        <v>47515</v>
      </c>
    </row>
    <row r="52" spans="8:8" x14ac:dyDescent="0.25">
      <c r="H52" s="2">
        <v>47543</v>
      </c>
    </row>
    <row r="53" spans="8:8" x14ac:dyDescent="0.25">
      <c r="H53" s="2">
        <v>47574</v>
      </c>
    </row>
    <row r="54" spans="8:8" x14ac:dyDescent="0.25">
      <c r="H54" s="2">
        <v>47604</v>
      </c>
    </row>
    <row r="55" spans="8:8" x14ac:dyDescent="0.25">
      <c r="H55" s="2">
        <v>47635</v>
      </c>
    </row>
    <row r="56" spans="8:8" x14ac:dyDescent="0.25">
      <c r="H56" s="2">
        <v>47665</v>
      </c>
    </row>
    <row r="57" spans="8:8" x14ac:dyDescent="0.25">
      <c r="H57" s="2">
        <v>47696</v>
      </c>
    </row>
    <row r="58" spans="8:8" x14ac:dyDescent="0.25">
      <c r="H58" s="2">
        <v>47727</v>
      </c>
    </row>
    <row r="59" spans="8:8" x14ac:dyDescent="0.25">
      <c r="H59" s="2">
        <v>47757</v>
      </c>
    </row>
    <row r="60" spans="8:8" x14ac:dyDescent="0.25">
      <c r="H60" s="2">
        <v>47788</v>
      </c>
    </row>
    <row r="61" spans="8:8" x14ac:dyDescent="0.25">
      <c r="H61" s="2">
        <v>47818</v>
      </c>
    </row>
  </sheetData>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00402-C56E-4385-8387-D9F971C08EDA}">
  <dimension ref="A1:O43"/>
  <sheetViews>
    <sheetView showGridLines="0" zoomScale="110" zoomScaleNormal="110" workbookViewId="0">
      <pane ySplit="1" topLeftCell="A18" activePane="bottomLeft" state="frozen"/>
      <selection pane="bottomLeft" activeCell="H33" sqref="H33"/>
    </sheetView>
  </sheetViews>
  <sheetFormatPr defaultColWidth="8.85546875" defaultRowHeight="15" x14ac:dyDescent="0.25"/>
  <cols>
    <col min="1" max="1" width="36.7109375" customWidth="1"/>
    <col min="2" max="2" width="23.85546875" customWidth="1"/>
    <col min="11" max="11" width="10.5703125" customWidth="1"/>
    <col min="12" max="12" width="11.42578125" customWidth="1"/>
  </cols>
  <sheetData>
    <row r="1" spans="1:12" ht="55.15" customHeight="1" x14ac:dyDescent="0.25">
      <c r="A1" s="157" t="s">
        <v>2822</v>
      </c>
      <c r="B1" s="158"/>
      <c r="C1" s="158"/>
      <c r="D1" s="158"/>
      <c r="E1" s="158"/>
      <c r="F1" s="158"/>
      <c r="G1" s="158"/>
      <c r="H1" s="158"/>
      <c r="I1" s="158"/>
      <c r="J1" s="158"/>
      <c r="K1" s="158"/>
      <c r="L1" s="158"/>
    </row>
    <row r="3" spans="1:12" ht="15.75" x14ac:dyDescent="0.25">
      <c r="A3" s="1" t="s">
        <v>2823</v>
      </c>
      <c r="B3" s="1"/>
      <c r="C3" s="1"/>
      <c r="D3" s="1"/>
      <c r="E3" s="1"/>
      <c r="F3" s="1"/>
      <c r="G3" s="1"/>
      <c r="H3" s="1"/>
      <c r="I3" s="1"/>
      <c r="J3" s="1"/>
      <c r="K3" s="1"/>
      <c r="L3" s="1"/>
    </row>
    <row r="4" spans="1:12" ht="15.75" x14ac:dyDescent="0.25">
      <c r="A4" s="1"/>
      <c r="B4" s="1"/>
      <c r="C4" s="1"/>
      <c r="D4" s="1"/>
      <c r="E4" s="1"/>
      <c r="F4" s="1"/>
      <c r="G4" s="1"/>
      <c r="H4" s="1"/>
      <c r="I4" s="1"/>
      <c r="J4" s="1"/>
      <c r="K4" s="1"/>
      <c r="L4" s="1"/>
    </row>
    <row r="5" spans="1:12" ht="15.75" x14ac:dyDescent="0.25">
      <c r="B5" s="1"/>
      <c r="C5" s="1"/>
      <c r="D5" s="1"/>
      <c r="E5" s="1"/>
      <c r="F5" s="1"/>
      <c r="G5" s="1"/>
      <c r="H5" s="1"/>
      <c r="I5" s="1"/>
      <c r="J5" s="1"/>
      <c r="K5" s="1"/>
      <c r="L5" s="1"/>
    </row>
    <row r="6" spans="1:12" ht="15.75" x14ac:dyDescent="0.25">
      <c r="A6" s="1" t="s">
        <v>2824</v>
      </c>
      <c r="B6" s="1"/>
      <c r="C6" s="1"/>
      <c r="D6" s="1"/>
      <c r="E6" s="1"/>
      <c r="F6" s="1"/>
      <c r="G6" s="1"/>
      <c r="H6" s="1"/>
      <c r="I6" s="1"/>
      <c r="J6" s="1"/>
      <c r="K6" s="1"/>
      <c r="L6" s="1"/>
    </row>
    <row r="7" spans="1:12" ht="15.75" x14ac:dyDescent="0.25">
      <c r="A7" s="1" t="s">
        <v>2825</v>
      </c>
      <c r="B7" s="1"/>
      <c r="C7" s="1"/>
      <c r="D7" s="1"/>
      <c r="E7" s="1"/>
      <c r="F7" s="1"/>
      <c r="G7" s="1"/>
      <c r="H7" s="1"/>
      <c r="I7" s="1"/>
      <c r="J7" s="1"/>
      <c r="K7" s="1"/>
      <c r="L7" s="1"/>
    </row>
    <row r="8" spans="1:12" ht="15.75" x14ac:dyDescent="0.25">
      <c r="A8" s="1"/>
      <c r="B8" s="1"/>
      <c r="C8" s="1"/>
      <c r="D8" s="1"/>
      <c r="E8" s="1"/>
      <c r="F8" s="1"/>
      <c r="G8" s="1"/>
      <c r="H8" s="1"/>
      <c r="I8" s="1"/>
      <c r="J8" s="1"/>
      <c r="K8" s="1"/>
      <c r="L8" s="1"/>
    </row>
    <row r="9" spans="1:12" ht="15.75" x14ac:dyDescent="0.25">
      <c r="A9" s="1" t="s">
        <v>2826</v>
      </c>
      <c r="B9" s="1"/>
      <c r="C9" s="1"/>
      <c r="D9" s="1"/>
      <c r="E9" s="1"/>
      <c r="F9" s="1"/>
      <c r="G9" s="1"/>
      <c r="H9" s="1"/>
      <c r="I9" s="1"/>
      <c r="J9" s="1"/>
      <c r="K9" s="1"/>
      <c r="L9" s="1"/>
    </row>
    <row r="10" spans="1:12" ht="15.75" x14ac:dyDescent="0.25">
      <c r="A10" s="1"/>
      <c r="B10" s="1"/>
      <c r="C10" s="1"/>
      <c r="D10" s="1"/>
      <c r="E10" s="1"/>
      <c r="F10" s="1"/>
      <c r="G10" s="1"/>
      <c r="H10" s="1"/>
      <c r="I10" s="1"/>
      <c r="J10" s="1"/>
      <c r="K10" s="1"/>
      <c r="L10" s="1"/>
    </row>
    <row r="11" spans="1:12" ht="15.75" x14ac:dyDescent="0.25">
      <c r="A11" s="1" t="s">
        <v>2827</v>
      </c>
      <c r="B11" s="1"/>
      <c r="C11" s="1"/>
      <c r="D11" s="1"/>
      <c r="E11" s="1"/>
      <c r="F11" s="1"/>
      <c r="G11" s="1"/>
      <c r="H11" s="1"/>
      <c r="I11" s="1"/>
      <c r="J11" s="1"/>
      <c r="K11" s="1"/>
      <c r="L11" s="1"/>
    </row>
    <row r="12" spans="1:12" ht="15.75" x14ac:dyDescent="0.25">
      <c r="A12" s="1" t="s">
        <v>2828</v>
      </c>
      <c r="B12" s="1"/>
      <c r="C12" s="1"/>
      <c r="D12" s="1"/>
      <c r="E12" s="1"/>
      <c r="F12" s="1"/>
      <c r="G12" s="1"/>
      <c r="H12" s="1"/>
      <c r="I12" s="1"/>
      <c r="J12" s="1"/>
      <c r="K12" s="1"/>
      <c r="L12" s="1"/>
    </row>
    <row r="13" spans="1:12" ht="15.75" x14ac:dyDescent="0.25">
      <c r="A13" s="1"/>
      <c r="B13" s="1"/>
      <c r="C13" s="1"/>
      <c r="D13" s="1"/>
      <c r="E13" s="1"/>
      <c r="F13" s="1"/>
      <c r="G13" s="1"/>
      <c r="H13" s="1"/>
      <c r="I13" s="1"/>
      <c r="J13" s="1"/>
      <c r="K13" s="1"/>
      <c r="L13" s="1"/>
    </row>
    <row r="14" spans="1:12" ht="15.75" x14ac:dyDescent="0.25">
      <c r="A14" s="1" t="s">
        <v>2829</v>
      </c>
      <c r="B14" s="1"/>
      <c r="C14" s="1"/>
      <c r="D14" s="1"/>
      <c r="E14" s="1"/>
      <c r="F14" s="1"/>
      <c r="G14" s="1"/>
      <c r="H14" s="1"/>
      <c r="I14" s="1"/>
      <c r="J14" s="1"/>
      <c r="K14" s="1"/>
      <c r="L14" s="1"/>
    </row>
    <row r="15" spans="1:12" ht="15.75" x14ac:dyDescent="0.25">
      <c r="A15" s="1" t="s">
        <v>2830</v>
      </c>
      <c r="B15" s="1"/>
      <c r="C15" s="1"/>
      <c r="D15" s="1"/>
      <c r="E15" s="1"/>
      <c r="F15" s="1"/>
      <c r="G15" s="1"/>
      <c r="H15" s="1"/>
      <c r="I15" s="1"/>
      <c r="J15" s="1"/>
      <c r="K15" s="1"/>
      <c r="L15" s="1"/>
    </row>
    <row r="16" spans="1:12" ht="15.75" x14ac:dyDescent="0.25">
      <c r="A16" s="1"/>
      <c r="B16" s="1"/>
      <c r="C16" s="1"/>
      <c r="D16" s="1"/>
      <c r="E16" s="1"/>
      <c r="F16" s="1"/>
      <c r="G16" s="1"/>
      <c r="H16" s="1"/>
      <c r="I16" s="1"/>
      <c r="J16" s="1"/>
      <c r="K16" s="1"/>
      <c r="L16" s="1"/>
    </row>
    <row r="17" spans="1:12" ht="15.75" x14ac:dyDescent="0.25">
      <c r="A17" s="1" t="s">
        <v>2831</v>
      </c>
      <c r="B17" s="1"/>
      <c r="C17" s="1"/>
      <c r="D17" s="1"/>
      <c r="E17" s="1"/>
      <c r="F17" s="1"/>
      <c r="G17" s="1"/>
      <c r="H17" s="1"/>
      <c r="I17" s="1"/>
      <c r="J17" s="1"/>
      <c r="K17" s="1"/>
      <c r="L17" s="1"/>
    </row>
    <row r="18" spans="1:12" ht="15.75" x14ac:dyDescent="0.25">
      <c r="A18" s="1"/>
      <c r="B18" s="1"/>
      <c r="C18" s="1"/>
      <c r="D18" s="1"/>
      <c r="E18" s="1"/>
      <c r="F18" s="1"/>
      <c r="G18" s="1"/>
      <c r="H18" s="1"/>
      <c r="I18" s="1"/>
      <c r="J18" s="1"/>
      <c r="K18" s="1"/>
      <c r="L18" s="1"/>
    </row>
    <row r="19" spans="1:12" ht="15.75" x14ac:dyDescent="0.25">
      <c r="A19" s="159" t="s">
        <v>2832</v>
      </c>
      <c r="B19" s="159"/>
      <c r="C19" s="159"/>
      <c r="D19" s="159"/>
      <c r="E19" s="159"/>
      <c r="F19" s="159"/>
      <c r="G19" s="159"/>
      <c r="H19" s="159"/>
      <c r="I19" s="159"/>
      <c r="J19" s="159"/>
      <c r="K19" s="159"/>
      <c r="L19" s="159"/>
    </row>
    <row r="20" spans="1:12" ht="15.75" x14ac:dyDescent="0.25">
      <c r="A20" s="160" t="s">
        <v>2833</v>
      </c>
      <c r="B20" s="160"/>
      <c r="C20" s="160"/>
      <c r="D20" s="160"/>
      <c r="E20" s="160"/>
      <c r="F20" s="160"/>
      <c r="G20" s="160"/>
      <c r="H20" s="160"/>
      <c r="I20" s="160"/>
      <c r="J20" s="160"/>
      <c r="K20" s="160"/>
      <c r="L20" s="160"/>
    </row>
    <row r="21" spans="1:12" ht="30.6" customHeight="1" thickBot="1" x14ac:dyDescent="0.3">
      <c r="A21" s="159"/>
      <c r="B21" s="159"/>
      <c r="C21" s="159"/>
      <c r="D21" s="159"/>
      <c r="E21" s="159"/>
      <c r="F21" s="159"/>
      <c r="G21" s="159"/>
      <c r="H21" s="159"/>
      <c r="I21" s="159"/>
      <c r="J21" s="159"/>
      <c r="K21" s="159"/>
      <c r="L21" s="159"/>
    </row>
    <row r="22" spans="1:12" ht="38.25" thickBot="1" x14ac:dyDescent="0.3">
      <c r="A22" s="57" t="s">
        <v>2834</v>
      </c>
      <c r="B22" s="50"/>
      <c r="C22" s="51"/>
      <c r="D22" s="52"/>
      <c r="E22" s="52"/>
      <c r="F22" s="52"/>
      <c r="G22" s="52"/>
      <c r="H22" s="1"/>
      <c r="I22" s="1"/>
      <c r="J22" s="1"/>
      <c r="K22" s="1"/>
      <c r="L22" s="1"/>
    </row>
    <row r="23" spans="1:12" ht="19.5" thickBot="1" x14ac:dyDescent="0.3">
      <c r="A23" s="49"/>
      <c r="B23" s="53"/>
      <c r="C23" s="51"/>
      <c r="D23" s="52"/>
      <c r="E23" s="52"/>
      <c r="F23" s="52"/>
      <c r="G23" s="52"/>
      <c r="H23" s="1"/>
      <c r="I23" s="1"/>
      <c r="J23" s="1"/>
      <c r="K23" s="1"/>
      <c r="L23" s="1"/>
    </row>
    <row r="24" spans="1:12" ht="19.5" thickBot="1" x14ac:dyDescent="0.3">
      <c r="A24" s="49" t="s">
        <v>2835</v>
      </c>
      <c r="B24" s="161"/>
      <c r="C24" s="162"/>
      <c r="D24" s="162"/>
      <c r="E24" s="162"/>
      <c r="F24" s="162"/>
      <c r="G24" s="163"/>
      <c r="H24" s="1"/>
      <c r="I24" s="1"/>
      <c r="J24" s="1"/>
      <c r="K24" s="1"/>
      <c r="L24" s="1"/>
    </row>
    <row r="25" spans="1:12" ht="19.5" thickBot="1" x14ac:dyDescent="0.3">
      <c r="A25" s="49"/>
      <c r="B25" s="53"/>
      <c r="C25" s="53"/>
      <c r="D25" s="53"/>
      <c r="E25" s="53"/>
      <c r="F25" s="53"/>
      <c r="G25" s="53"/>
      <c r="H25" s="1"/>
      <c r="I25" s="1"/>
      <c r="J25" s="1"/>
      <c r="K25" s="1"/>
      <c r="L25" s="1"/>
    </row>
    <row r="26" spans="1:12" ht="38.25" thickBot="1" x14ac:dyDescent="0.3">
      <c r="A26" s="57" t="s">
        <v>2836</v>
      </c>
      <c r="B26" s="54"/>
      <c r="C26" s="55"/>
      <c r="D26" s="56"/>
      <c r="E26" s="56"/>
      <c r="F26" s="56"/>
      <c r="G26" s="56"/>
      <c r="H26" s="1"/>
      <c r="I26" s="1"/>
      <c r="J26" s="1"/>
      <c r="K26" s="1"/>
      <c r="L26" s="1"/>
    </row>
    <row r="27" spans="1:12" ht="19.5" thickBot="1" x14ac:dyDescent="0.3">
      <c r="A27" s="49"/>
      <c r="B27" s="56"/>
      <c r="C27" s="55"/>
      <c r="D27" s="56"/>
      <c r="E27" s="56"/>
      <c r="F27" s="56"/>
      <c r="G27" s="56"/>
      <c r="H27" s="1"/>
      <c r="I27" s="1"/>
      <c r="J27" s="1"/>
      <c r="K27" s="1"/>
      <c r="L27" s="1"/>
    </row>
    <row r="28" spans="1:12" ht="46.15" customHeight="1" thickBot="1" x14ac:dyDescent="0.3">
      <c r="A28" s="57" t="s">
        <v>2837</v>
      </c>
      <c r="B28" s="68">
        <v>46175</v>
      </c>
      <c r="C28" s="58"/>
      <c r="D28" s="59"/>
      <c r="E28" s="59"/>
      <c r="F28" s="60"/>
      <c r="G28" s="60"/>
      <c r="H28" s="1"/>
      <c r="I28" s="1"/>
      <c r="J28" s="1"/>
      <c r="K28" s="1"/>
      <c r="L28" s="1"/>
    </row>
    <row r="29" spans="1:12" ht="15.75" x14ac:dyDescent="0.25">
      <c r="A29" s="1"/>
      <c r="B29" s="1"/>
      <c r="C29" s="1"/>
      <c r="D29" s="1"/>
      <c r="E29" s="1"/>
      <c r="F29" s="1"/>
      <c r="G29" s="1"/>
      <c r="H29" s="1"/>
      <c r="I29" s="1"/>
      <c r="J29" s="1"/>
      <c r="K29" s="1"/>
      <c r="L29" s="1"/>
    </row>
    <row r="30" spans="1:12" ht="15.75" x14ac:dyDescent="0.25">
      <c r="A30" s="1"/>
      <c r="B30" s="1"/>
      <c r="C30" s="1"/>
      <c r="D30" s="1"/>
      <c r="E30" s="1"/>
      <c r="F30" s="1"/>
      <c r="G30" s="1"/>
      <c r="H30" s="1"/>
      <c r="I30" s="1"/>
      <c r="J30" s="1"/>
      <c r="K30" s="1"/>
      <c r="L30" s="1"/>
    </row>
    <row r="31" spans="1:12" ht="15.75" x14ac:dyDescent="0.25">
      <c r="A31" s="1"/>
      <c r="B31" s="1"/>
      <c r="C31" s="1"/>
      <c r="D31" s="1"/>
      <c r="E31" s="1"/>
      <c r="F31" s="1"/>
      <c r="G31" s="1"/>
      <c r="H31" s="1"/>
      <c r="I31" s="1"/>
      <c r="J31" s="1"/>
      <c r="K31" s="1"/>
      <c r="L31" s="1"/>
    </row>
    <row r="32" spans="1:12" ht="15.75" x14ac:dyDescent="0.25">
      <c r="A32" s="1"/>
      <c r="B32" s="1"/>
      <c r="C32" s="1"/>
      <c r="D32" s="1"/>
      <c r="E32" s="1"/>
      <c r="F32" s="1"/>
      <c r="G32" s="1"/>
      <c r="H32" s="1"/>
      <c r="I32" s="1"/>
      <c r="J32" s="1"/>
      <c r="K32" s="1"/>
      <c r="L32" s="1"/>
    </row>
    <row r="33" spans="1:15" ht="15.75" x14ac:dyDescent="0.25">
      <c r="A33" s="1"/>
      <c r="B33" s="1"/>
      <c r="C33" s="1"/>
      <c r="D33" s="1"/>
      <c r="E33" s="1"/>
      <c r="F33" s="1"/>
      <c r="G33" s="1"/>
      <c r="H33" s="1"/>
      <c r="I33" s="1"/>
      <c r="J33" s="1"/>
      <c r="K33" s="1"/>
      <c r="L33" s="1"/>
    </row>
    <row r="34" spans="1:15" ht="27" customHeight="1" x14ac:dyDescent="0.25">
      <c r="A34" s="156" t="s">
        <v>2838</v>
      </c>
      <c r="B34" s="156"/>
      <c r="C34" s="156"/>
      <c r="D34" s="156"/>
      <c r="E34" s="156"/>
      <c r="F34" s="156"/>
      <c r="G34" s="156"/>
      <c r="H34" s="156"/>
      <c r="I34" s="1"/>
      <c r="J34" s="1"/>
      <c r="K34" s="1"/>
      <c r="L34" s="1"/>
    </row>
    <row r="35" spans="1:15" ht="16.5" customHeight="1" x14ac:dyDescent="0.25">
      <c r="A35" s="5" t="s">
        <v>2839</v>
      </c>
      <c r="B35" s="52"/>
      <c r="C35" s="52"/>
      <c r="D35" s="52"/>
      <c r="E35" s="52"/>
      <c r="F35" s="52"/>
      <c r="G35" s="52"/>
      <c r="H35" s="52"/>
    </row>
    <row r="36" spans="1:15" ht="25.9" customHeight="1" x14ac:dyDescent="0.25">
      <c r="A36" s="149" t="s">
        <v>2840</v>
      </c>
      <c r="B36" s="52"/>
      <c r="C36" s="52"/>
      <c r="D36" s="52"/>
      <c r="E36" s="52"/>
      <c r="F36" s="52"/>
      <c r="G36" s="52"/>
      <c r="H36" s="52"/>
    </row>
    <row r="37" spans="1:15" ht="65.25" customHeight="1" x14ac:dyDescent="0.25">
      <c r="A37" s="149"/>
      <c r="B37" s="52"/>
      <c r="C37" s="52"/>
      <c r="D37" s="52"/>
      <c r="E37" s="52"/>
      <c r="F37" s="52"/>
      <c r="G37" s="52"/>
      <c r="H37" s="52"/>
    </row>
    <row r="38" spans="1:15" ht="25.5" customHeight="1" x14ac:dyDescent="0.25">
      <c r="A38" s="151" t="s">
        <v>2841</v>
      </c>
      <c r="B38" s="52"/>
      <c r="C38" s="52"/>
      <c r="D38" s="52"/>
      <c r="E38" s="52"/>
      <c r="F38" s="52"/>
      <c r="G38" s="52"/>
      <c r="H38" s="52"/>
    </row>
    <row r="39" spans="1:15" ht="25.5" customHeight="1" x14ac:dyDescent="0.25">
      <c r="A39" s="150" t="s">
        <v>2842</v>
      </c>
      <c r="B39" s="52"/>
      <c r="C39" s="52"/>
      <c r="D39" s="52"/>
      <c r="E39" s="52"/>
      <c r="F39" s="52"/>
      <c r="G39" s="52"/>
      <c r="H39" s="52"/>
    </row>
    <row r="40" spans="1:15" ht="25.5" customHeight="1" x14ac:dyDescent="0.25">
      <c r="A40" s="150" t="s">
        <v>2843</v>
      </c>
      <c r="B40" s="52"/>
      <c r="C40" s="52"/>
      <c r="D40" s="52"/>
      <c r="E40" s="52"/>
      <c r="F40" s="52"/>
      <c r="G40" s="52"/>
      <c r="H40" s="52"/>
    </row>
    <row r="41" spans="1:15" ht="25.5" customHeight="1" x14ac:dyDescent="0.25">
      <c r="A41" s="149" t="s">
        <v>2844</v>
      </c>
      <c r="B41" s="52"/>
      <c r="C41" s="52"/>
      <c r="D41" s="52"/>
      <c r="E41" s="52"/>
      <c r="F41" s="52"/>
      <c r="G41" s="52"/>
      <c r="H41" s="52"/>
    </row>
    <row r="42" spans="1:15" ht="18.75" customHeight="1" x14ac:dyDescent="0.25">
      <c r="A42" s="5"/>
    </row>
    <row r="43" spans="1:15" ht="45" customHeight="1" x14ac:dyDescent="0.25">
      <c r="A43" s="155" t="s">
        <v>2845</v>
      </c>
      <c r="B43" s="155"/>
      <c r="C43" s="155"/>
      <c r="D43" s="155"/>
      <c r="E43" s="155"/>
      <c r="F43" s="155"/>
      <c r="G43" s="155"/>
      <c r="H43" s="155"/>
      <c r="I43" s="155"/>
      <c r="J43" s="155"/>
      <c r="K43" s="155"/>
      <c r="L43" s="155"/>
      <c r="M43" s="155"/>
      <c r="N43" s="155"/>
      <c r="O43" s="155"/>
    </row>
  </sheetData>
  <mergeCells count="7">
    <mergeCell ref="A43:O43"/>
    <mergeCell ref="A34:H34"/>
    <mergeCell ref="A1:L1"/>
    <mergeCell ref="A19:L19"/>
    <mergeCell ref="A20:L20"/>
    <mergeCell ref="A21:L21"/>
    <mergeCell ref="B24:G24"/>
  </mergeCells>
  <hyperlinks>
    <hyperlink ref="A36" r:id="rId1" display="www.southeastqinqio.org" xr:uid="{451C5947-28E1-46E7-A821-203294FA7CF6}"/>
    <hyperlink ref="A39" r:id="rId2" xr:uid="{3D142ABF-41E0-422A-80AF-1A322B04E357}"/>
    <hyperlink ref="A38" r:id="rId3" xr:uid="{4286844B-A054-4993-ABA6-68AC3140FB1E}"/>
    <hyperlink ref="A40" r:id="rId4" xr:uid="{96EBA8B4-EE2F-44C2-89DD-C46563C181D0}"/>
    <hyperlink ref="A41" r:id="rId5" xr:uid="{0B974979-306C-4D6A-ADD9-85A3500B0CE5}"/>
  </hyperlinks>
  <pageMargins left="0.7" right="0.7" top="0.75" bottom="0.75" header="0.3" footer="0.3"/>
  <pageSetup orientation="portrait" r:id="rId6"/>
  <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F9AEC-D152-45C0-AC23-94BF92839716}">
  <dimension ref="A1:AB23"/>
  <sheetViews>
    <sheetView workbookViewId="0">
      <selection activeCell="Q3" sqref="Q3"/>
    </sheetView>
  </sheetViews>
  <sheetFormatPr defaultColWidth="9.140625" defaultRowHeight="16.5" x14ac:dyDescent="0.3"/>
  <cols>
    <col min="1" max="1" width="18.7109375" style="7" customWidth="1"/>
    <col min="2" max="2" width="38.28515625" style="7" customWidth="1"/>
    <col min="3" max="3" width="13.140625" style="7" customWidth="1"/>
    <col min="4" max="4" width="13.28515625" style="7" customWidth="1"/>
    <col min="5" max="5" width="13.85546875" style="7" customWidth="1"/>
    <col min="6" max="6" width="15.5703125" style="7" customWidth="1"/>
    <col min="7" max="7" width="16.7109375" style="7" customWidth="1"/>
    <col min="8" max="8" width="14.28515625" style="7" customWidth="1"/>
    <col min="9" max="9" width="19.85546875" style="7" customWidth="1"/>
    <col min="10" max="10" width="13.5703125" style="7" customWidth="1"/>
    <col min="11" max="11" width="11.7109375" style="7" customWidth="1"/>
    <col min="12" max="12" width="24" style="7" customWidth="1"/>
    <col min="13" max="13" width="14.140625" style="7" customWidth="1"/>
    <col min="14" max="14" width="14.28515625" style="7" customWidth="1"/>
    <col min="15" max="16" width="14.7109375" style="7" customWidth="1"/>
    <col min="17" max="17" width="29.28515625" style="9" customWidth="1"/>
    <col min="18" max="18" width="16.42578125" style="7" customWidth="1"/>
    <col min="19" max="19" width="18" style="7" customWidth="1"/>
    <col min="20" max="24" width="16" style="7" customWidth="1"/>
    <col min="25" max="25" width="17" style="7" customWidth="1"/>
    <col min="26" max="26" width="17.7109375" style="7" customWidth="1"/>
    <col min="27" max="27" width="16" style="7" customWidth="1"/>
    <col min="28" max="28" width="26.28515625" style="7" customWidth="1"/>
    <col min="29" max="16384" width="9.140625" style="7"/>
  </cols>
  <sheetData>
    <row r="1" spans="1:28" ht="55.5" customHeight="1" x14ac:dyDescent="0.7">
      <c r="A1" s="180" t="s">
        <v>2846</v>
      </c>
      <c r="B1" s="181"/>
      <c r="C1" s="181"/>
      <c r="D1" s="181"/>
      <c r="E1" s="181"/>
      <c r="F1" s="181"/>
      <c r="G1" s="181"/>
      <c r="H1" s="181"/>
      <c r="I1" s="181"/>
      <c r="J1" s="181"/>
      <c r="K1" s="181"/>
      <c r="L1" s="181"/>
      <c r="M1" s="181"/>
      <c r="N1" s="181"/>
      <c r="O1" s="181"/>
    </row>
    <row r="3" spans="1:28" ht="39" thickBot="1" x14ac:dyDescent="0.7">
      <c r="A3" s="10" t="s">
        <v>2847</v>
      </c>
      <c r="F3" s="185" t="s">
        <v>2848</v>
      </c>
      <c r="G3" s="185"/>
      <c r="H3" s="185"/>
      <c r="I3" s="185"/>
      <c r="J3" s="185"/>
      <c r="K3" s="185"/>
    </row>
    <row r="4" spans="1:28" ht="18.75" thickTop="1" thickBot="1" x14ac:dyDescent="0.35">
      <c r="A4" t="s">
        <v>2849</v>
      </c>
      <c r="T4" s="182" t="s">
        <v>2850</v>
      </c>
      <c r="U4" s="183"/>
      <c r="V4" s="183"/>
      <c r="W4" s="183"/>
      <c r="X4" s="183"/>
      <c r="Y4" s="183"/>
      <c r="Z4" s="183"/>
      <c r="AA4" s="184"/>
    </row>
    <row r="5" spans="1:28" s="116" customFormat="1" ht="70.5" thickTop="1" thickBot="1" x14ac:dyDescent="0.3">
      <c r="A5" s="13" t="s">
        <v>2851</v>
      </c>
      <c r="B5" s="13" t="s">
        <v>2852</v>
      </c>
      <c r="C5" s="13" t="s">
        <v>2853</v>
      </c>
      <c r="D5" s="13" t="s">
        <v>2854</v>
      </c>
      <c r="E5" s="13" t="s">
        <v>2855</v>
      </c>
      <c r="F5" s="13" t="s">
        <v>2856</v>
      </c>
      <c r="G5" s="13" t="s">
        <v>2857</v>
      </c>
      <c r="H5" s="13" t="s">
        <v>2858</v>
      </c>
      <c r="I5" s="13" t="s">
        <v>2859</v>
      </c>
      <c r="J5" s="13" t="s">
        <v>2860</v>
      </c>
      <c r="K5" s="13" t="s">
        <v>2861</v>
      </c>
      <c r="L5" s="13" t="s">
        <v>2862</v>
      </c>
      <c r="M5" s="13" t="s">
        <v>2863</v>
      </c>
      <c r="N5" s="13" t="s">
        <v>2864</v>
      </c>
      <c r="O5" s="13" t="s">
        <v>2865</v>
      </c>
      <c r="P5" s="13" t="s">
        <v>2866</v>
      </c>
      <c r="Q5" s="13" t="s">
        <v>2793</v>
      </c>
      <c r="R5" s="13" t="s">
        <v>2867</v>
      </c>
      <c r="S5" s="13" t="s">
        <v>2868</v>
      </c>
      <c r="T5" s="14" t="s">
        <v>23</v>
      </c>
      <c r="U5" s="14" t="s">
        <v>24</v>
      </c>
      <c r="V5" s="14" t="s">
        <v>25</v>
      </c>
      <c r="W5" s="14" t="s">
        <v>26</v>
      </c>
      <c r="X5" s="14" t="s">
        <v>27</v>
      </c>
      <c r="Y5" s="14" t="s">
        <v>28</v>
      </c>
      <c r="Z5" s="14" t="s">
        <v>29</v>
      </c>
      <c r="AA5" s="14" t="s">
        <v>32</v>
      </c>
      <c r="AB5" s="13" t="s">
        <v>2869</v>
      </c>
    </row>
    <row r="6" spans="1:28" s="9" customFormat="1" ht="33.75" thickTop="1" x14ac:dyDescent="0.3">
      <c r="A6" s="21" t="s">
        <v>2870</v>
      </c>
      <c r="B6" s="21" t="s">
        <v>2871</v>
      </c>
      <c r="C6" s="117" t="s">
        <v>2872</v>
      </c>
      <c r="D6" s="118">
        <v>44931</v>
      </c>
      <c r="E6" s="117" t="s">
        <v>2873</v>
      </c>
      <c r="F6" s="117" t="s">
        <v>2874</v>
      </c>
      <c r="G6" s="117" t="s">
        <v>2873</v>
      </c>
      <c r="H6" s="118">
        <v>44987</v>
      </c>
      <c r="I6" s="121" t="s">
        <v>2874</v>
      </c>
      <c r="J6" s="122" t="s">
        <v>2875</v>
      </c>
      <c r="K6" s="117" t="s">
        <v>2807</v>
      </c>
      <c r="L6" s="123">
        <v>4.5138888888888888E-2</v>
      </c>
      <c r="M6" s="122" t="s">
        <v>2820</v>
      </c>
      <c r="N6" s="117" t="s">
        <v>68</v>
      </c>
      <c r="O6" s="117" t="s">
        <v>82</v>
      </c>
      <c r="P6" s="117" t="s">
        <v>2873</v>
      </c>
      <c r="Q6" s="117" t="s">
        <v>2816</v>
      </c>
      <c r="R6" s="117"/>
      <c r="S6" s="117" t="s">
        <v>2802</v>
      </c>
      <c r="T6" s="117" t="s">
        <v>2873</v>
      </c>
      <c r="U6" s="117" t="s">
        <v>2873</v>
      </c>
      <c r="V6" s="117" t="s">
        <v>2874</v>
      </c>
      <c r="W6" s="117" t="s">
        <v>2873</v>
      </c>
      <c r="X6" s="117" t="s">
        <v>2873</v>
      </c>
      <c r="Y6" s="117" t="s">
        <v>2874</v>
      </c>
      <c r="Z6" s="117" t="s">
        <v>2874</v>
      </c>
      <c r="AA6" s="117" t="s">
        <v>2873</v>
      </c>
      <c r="AB6" s="21"/>
    </row>
    <row r="7" spans="1:28" s="9" customFormat="1" ht="33" x14ac:dyDescent="0.3">
      <c r="A7" s="27" t="s">
        <v>2876</v>
      </c>
      <c r="B7" s="27"/>
      <c r="C7" s="119"/>
      <c r="D7" s="120">
        <v>44986</v>
      </c>
      <c r="E7" s="119" t="s">
        <v>2873</v>
      </c>
      <c r="F7" s="119" t="s">
        <v>2873</v>
      </c>
      <c r="G7" s="119" t="s">
        <v>2874</v>
      </c>
      <c r="H7" s="120">
        <v>44988</v>
      </c>
      <c r="I7" s="124" t="s">
        <v>2873</v>
      </c>
      <c r="J7" s="125" t="s">
        <v>2877</v>
      </c>
      <c r="K7" s="119" t="s">
        <v>2800</v>
      </c>
      <c r="L7" s="126">
        <v>0.59652777777777777</v>
      </c>
      <c r="M7" s="125" t="s">
        <v>2811</v>
      </c>
      <c r="N7" s="119" t="s">
        <v>74</v>
      </c>
      <c r="O7" s="117" t="s">
        <v>87</v>
      </c>
      <c r="P7" s="119" t="s">
        <v>2874</v>
      </c>
      <c r="Q7" s="119"/>
      <c r="R7" s="119"/>
      <c r="S7" s="119" t="s">
        <v>2802</v>
      </c>
      <c r="T7" s="117" t="s">
        <v>2873</v>
      </c>
      <c r="U7" s="117" t="s">
        <v>2873</v>
      </c>
      <c r="V7" s="117" t="s">
        <v>2874</v>
      </c>
      <c r="W7" s="117" t="s">
        <v>2873</v>
      </c>
      <c r="X7" s="117" t="s">
        <v>2873</v>
      </c>
      <c r="Y7" s="117" t="s">
        <v>2874</v>
      </c>
      <c r="Z7" s="117" t="s">
        <v>2874</v>
      </c>
      <c r="AA7" s="117" t="s">
        <v>2874</v>
      </c>
      <c r="AB7" s="27"/>
    </row>
    <row r="8" spans="1:28" s="9" customFormat="1" ht="33" x14ac:dyDescent="0.3">
      <c r="A8" s="27" t="s">
        <v>2878</v>
      </c>
      <c r="B8" s="27"/>
      <c r="C8" s="119"/>
      <c r="D8" s="120">
        <v>44916</v>
      </c>
      <c r="E8" s="119" t="s">
        <v>2873</v>
      </c>
      <c r="F8" s="119" t="s">
        <v>2873</v>
      </c>
      <c r="G8" s="119" t="s">
        <v>2873</v>
      </c>
      <c r="H8" s="120">
        <v>44989</v>
      </c>
      <c r="I8" s="124" t="s">
        <v>2874</v>
      </c>
      <c r="J8" s="125" t="s">
        <v>2879</v>
      </c>
      <c r="K8" s="119" t="s">
        <v>2807</v>
      </c>
      <c r="L8" s="126">
        <v>0.2986111111111111</v>
      </c>
      <c r="M8" s="125" t="s">
        <v>2803</v>
      </c>
      <c r="N8" s="119" t="s">
        <v>75</v>
      </c>
      <c r="O8" s="117" t="s">
        <v>82</v>
      </c>
      <c r="P8" s="119" t="s">
        <v>2873</v>
      </c>
      <c r="Q8" s="119" t="s">
        <v>2814</v>
      </c>
      <c r="R8" s="119"/>
      <c r="S8" s="119" t="s">
        <v>2805</v>
      </c>
      <c r="T8" s="117" t="s">
        <v>2873</v>
      </c>
      <c r="U8" s="117" t="s">
        <v>2873</v>
      </c>
      <c r="V8" s="117" t="s">
        <v>2874</v>
      </c>
      <c r="W8" s="117" t="s">
        <v>2873</v>
      </c>
      <c r="X8" s="117" t="s">
        <v>2873</v>
      </c>
      <c r="Y8" s="117" t="s">
        <v>2874</v>
      </c>
      <c r="Z8" s="117" t="s">
        <v>2874</v>
      </c>
      <c r="AA8" s="117" t="s">
        <v>2874</v>
      </c>
      <c r="AB8" s="27"/>
    </row>
    <row r="9" spans="1:28" s="9" customFormat="1" ht="33" x14ac:dyDescent="0.3">
      <c r="A9" s="27" t="s">
        <v>2870</v>
      </c>
      <c r="B9" s="27"/>
      <c r="C9" s="119"/>
      <c r="D9" s="120">
        <v>44934</v>
      </c>
      <c r="E9" s="119" t="s">
        <v>2873</v>
      </c>
      <c r="F9" s="119" t="s">
        <v>2873</v>
      </c>
      <c r="G9" s="119" t="s">
        <v>2873</v>
      </c>
      <c r="H9" s="120">
        <v>44962</v>
      </c>
      <c r="I9" s="124" t="s">
        <v>2873</v>
      </c>
      <c r="J9" s="125" t="s">
        <v>2880</v>
      </c>
      <c r="K9" s="119" t="s">
        <v>2804</v>
      </c>
      <c r="L9" s="126">
        <v>0.70486111111111116</v>
      </c>
      <c r="M9" s="125" t="s">
        <v>2813</v>
      </c>
      <c r="N9" s="119" t="s">
        <v>71</v>
      </c>
      <c r="O9" s="117" t="s">
        <v>82</v>
      </c>
      <c r="P9" s="119" t="s">
        <v>2873</v>
      </c>
      <c r="Q9" s="119" t="s">
        <v>2801</v>
      </c>
      <c r="R9" s="119"/>
      <c r="S9" s="119" t="s">
        <v>2802</v>
      </c>
      <c r="T9" s="117" t="s">
        <v>2873</v>
      </c>
      <c r="U9" s="117" t="s">
        <v>2873</v>
      </c>
      <c r="V9" s="117" t="s">
        <v>2874</v>
      </c>
      <c r="W9" s="117" t="s">
        <v>2873</v>
      </c>
      <c r="X9" s="117" t="s">
        <v>2873</v>
      </c>
      <c r="Y9" s="117" t="s">
        <v>2874</v>
      </c>
      <c r="Z9" s="117" t="s">
        <v>2873</v>
      </c>
      <c r="AA9" s="117" t="s">
        <v>2873</v>
      </c>
      <c r="AB9" s="27"/>
    </row>
    <row r="10" spans="1:28" s="9" customFormat="1" x14ac:dyDescent="0.3">
      <c r="A10" s="27" t="s">
        <v>2870</v>
      </c>
      <c r="B10" s="27"/>
      <c r="C10" s="119"/>
      <c r="D10" s="120">
        <v>44935</v>
      </c>
      <c r="E10" s="119" t="s">
        <v>2873</v>
      </c>
      <c r="F10" s="119" t="s">
        <v>2873</v>
      </c>
      <c r="G10" s="119" t="s">
        <v>2874</v>
      </c>
      <c r="H10" s="120">
        <v>44981</v>
      </c>
      <c r="I10" s="124" t="s">
        <v>2874</v>
      </c>
      <c r="J10" s="125" t="s">
        <v>2877</v>
      </c>
      <c r="K10" s="119" t="s">
        <v>2800</v>
      </c>
      <c r="L10" s="126">
        <v>0.28541666666666665</v>
      </c>
      <c r="M10" s="125" t="s">
        <v>2821</v>
      </c>
      <c r="N10" s="119" t="s">
        <v>72</v>
      </c>
      <c r="O10" s="117" t="s">
        <v>84</v>
      </c>
      <c r="P10" s="119" t="s">
        <v>2873</v>
      </c>
      <c r="Q10" s="119" t="s">
        <v>2810</v>
      </c>
      <c r="R10" s="119"/>
      <c r="S10" s="119" t="s">
        <v>2805</v>
      </c>
      <c r="T10" s="117" t="s">
        <v>2873</v>
      </c>
      <c r="U10" s="117" t="s">
        <v>2873</v>
      </c>
      <c r="V10" s="117" t="s">
        <v>2874</v>
      </c>
      <c r="W10" s="117" t="s">
        <v>2873</v>
      </c>
      <c r="X10" s="117" t="s">
        <v>2873</v>
      </c>
      <c r="Y10" s="117" t="s">
        <v>2873</v>
      </c>
      <c r="Z10" s="117" t="s">
        <v>2874</v>
      </c>
      <c r="AA10" s="117" t="s">
        <v>2874</v>
      </c>
      <c r="AB10" s="27"/>
    </row>
    <row r="11" spans="1:28" s="9" customFormat="1" ht="33" x14ac:dyDescent="0.3">
      <c r="A11" s="27" t="s">
        <v>2870</v>
      </c>
      <c r="B11" s="27"/>
      <c r="C11" s="119"/>
      <c r="D11" s="120">
        <v>44985</v>
      </c>
      <c r="E11" s="119" t="s">
        <v>2873</v>
      </c>
      <c r="F11" s="119" t="s">
        <v>2873</v>
      </c>
      <c r="G11" s="119" t="s">
        <v>2874</v>
      </c>
      <c r="H11" s="120">
        <v>44992</v>
      </c>
      <c r="I11" s="124" t="s">
        <v>2873</v>
      </c>
      <c r="J11" s="125" t="s">
        <v>2881</v>
      </c>
      <c r="K11" s="119" t="s">
        <v>2804</v>
      </c>
      <c r="L11" s="126">
        <v>0.875</v>
      </c>
      <c r="M11" s="125" t="s">
        <v>2817</v>
      </c>
      <c r="N11" s="119" t="s">
        <v>70</v>
      </c>
      <c r="O11" s="117" t="s">
        <v>82</v>
      </c>
      <c r="P11" s="119" t="s">
        <v>2873</v>
      </c>
      <c r="Q11" s="119" t="s">
        <v>2801</v>
      </c>
      <c r="R11" s="119"/>
      <c r="S11" s="119" t="s">
        <v>2802</v>
      </c>
      <c r="T11" s="117" t="s">
        <v>2873</v>
      </c>
      <c r="U11" s="117" t="s">
        <v>2874</v>
      </c>
      <c r="V11" s="117" t="s">
        <v>2873</v>
      </c>
      <c r="W11" s="117" t="s">
        <v>2873</v>
      </c>
      <c r="X11" s="117" t="s">
        <v>2873</v>
      </c>
      <c r="Y11" s="117" t="s">
        <v>2874</v>
      </c>
      <c r="Z11" s="117" t="s">
        <v>2874</v>
      </c>
      <c r="AA11" s="117" t="s">
        <v>2874</v>
      </c>
      <c r="AB11" s="27"/>
    </row>
    <row r="12" spans="1:28" s="9" customFormat="1" x14ac:dyDescent="0.3">
      <c r="A12" s="27" t="s">
        <v>2870</v>
      </c>
      <c r="B12" s="27"/>
      <c r="C12" s="119"/>
      <c r="D12" s="120">
        <v>44937</v>
      </c>
      <c r="E12" s="119" t="s">
        <v>2873</v>
      </c>
      <c r="F12" s="119" t="s">
        <v>2873</v>
      </c>
      <c r="G12" s="119" t="s">
        <v>2874</v>
      </c>
      <c r="H12" s="120">
        <v>44993</v>
      </c>
      <c r="I12" s="124" t="s">
        <v>2874</v>
      </c>
      <c r="J12" s="125" t="s">
        <v>2882</v>
      </c>
      <c r="K12" s="119" t="s">
        <v>2807</v>
      </c>
      <c r="L12" s="126">
        <v>4.5138888888888888E-2</v>
      </c>
      <c r="M12" s="125" t="s">
        <v>2820</v>
      </c>
      <c r="N12" s="119" t="s">
        <v>68</v>
      </c>
      <c r="O12" s="117" t="s">
        <v>85</v>
      </c>
      <c r="P12" s="119" t="s">
        <v>2874</v>
      </c>
      <c r="Q12" s="119"/>
      <c r="R12" s="119"/>
      <c r="S12" s="119" t="s">
        <v>2802</v>
      </c>
      <c r="T12" s="117" t="s">
        <v>2874</v>
      </c>
      <c r="U12" s="117" t="s">
        <v>2873</v>
      </c>
      <c r="V12" s="117" t="s">
        <v>2874</v>
      </c>
      <c r="W12" s="117" t="s">
        <v>2873</v>
      </c>
      <c r="X12" s="117" t="s">
        <v>2873</v>
      </c>
      <c r="Y12" s="117" t="s">
        <v>2874</v>
      </c>
      <c r="Z12" s="117" t="s">
        <v>2873</v>
      </c>
      <c r="AA12" s="117" t="s">
        <v>2874</v>
      </c>
      <c r="AB12" s="27"/>
    </row>
    <row r="13" spans="1:28" s="9" customFormat="1" ht="33" x14ac:dyDescent="0.3">
      <c r="A13" s="27" t="s">
        <v>2876</v>
      </c>
      <c r="B13" s="27"/>
      <c r="C13" s="119"/>
      <c r="D13" s="120">
        <v>44938</v>
      </c>
      <c r="E13" s="119" t="s">
        <v>2873</v>
      </c>
      <c r="F13" s="119" t="s">
        <v>2873</v>
      </c>
      <c r="G13" s="119" t="s">
        <v>2874</v>
      </c>
      <c r="H13" s="120">
        <v>44971</v>
      </c>
      <c r="I13" s="124" t="s">
        <v>2874</v>
      </c>
      <c r="J13" s="125" t="s">
        <v>2881</v>
      </c>
      <c r="K13" s="119" t="s">
        <v>2807</v>
      </c>
      <c r="L13" s="126">
        <v>4.5138888888888888E-2</v>
      </c>
      <c r="M13" s="125" t="s">
        <v>2820</v>
      </c>
      <c r="N13" s="119" t="s">
        <v>72</v>
      </c>
      <c r="O13" s="117" t="s">
        <v>82</v>
      </c>
      <c r="P13" s="119" t="s">
        <v>2873</v>
      </c>
      <c r="Q13" s="119" t="s">
        <v>2812</v>
      </c>
      <c r="R13" s="119"/>
      <c r="S13" s="119" t="s">
        <v>2808</v>
      </c>
      <c r="T13" s="117" t="s">
        <v>2873</v>
      </c>
      <c r="U13" s="117" t="s">
        <v>2873</v>
      </c>
      <c r="V13" s="117" t="s">
        <v>2874</v>
      </c>
      <c r="W13" s="117" t="s">
        <v>2874</v>
      </c>
      <c r="X13" s="117" t="s">
        <v>2873</v>
      </c>
      <c r="Y13" s="117" t="s">
        <v>2874</v>
      </c>
      <c r="Z13" s="117" t="s">
        <v>2874</v>
      </c>
      <c r="AA13" s="117" t="s">
        <v>2874</v>
      </c>
      <c r="AB13" s="27"/>
    </row>
    <row r="14" spans="1:28" s="9" customFormat="1" ht="33" x14ac:dyDescent="0.3">
      <c r="A14" s="27" t="s">
        <v>2876</v>
      </c>
      <c r="B14" s="27"/>
      <c r="C14" s="119"/>
      <c r="D14" s="120">
        <v>44939</v>
      </c>
      <c r="E14" s="119" t="s">
        <v>2873</v>
      </c>
      <c r="F14" s="119" t="s">
        <v>2873</v>
      </c>
      <c r="G14" s="119" t="s">
        <v>2874</v>
      </c>
      <c r="H14" s="120">
        <v>44995</v>
      </c>
      <c r="I14" s="124" t="s">
        <v>2874</v>
      </c>
      <c r="J14" s="125" t="s">
        <v>2877</v>
      </c>
      <c r="K14" s="119" t="s">
        <v>2800</v>
      </c>
      <c r="L14" s="126">
        <v>0.26250000000000001</v>
      </c>
      <c r="M14" s="125" t="s">
        <v>2821</v>
      </c>
      <c r="N14" s="119" t="s">
        <v>32</v>
      </c>
      <c r="O14" s="117" t="s">
        <v>82</v>
      </c>
      <c r="P14" s="119" t="s">
        <v>2873</v>
      </c>
      <c r="Q14" s="119" t="s">
        <v>2801</v>
      </c>
      <c r="R14" s="119"/>
      <c r="S14" s="119" t="s">
        <v>2802</v>
      </c>
      <c r="T14" s="117" t="s">
        <v>2873</v>
      </c>
      <c r="U14" s="117" t="s">
        <v>2873</v>
      </c>
      <c r="V14" s="117" t="s">
        <v>2874</v>
      </c>
      <c r="W14" s="117" t="s">
        <v>2873</v>
      </c>
      <c r="X14" s="117" t="s">
        <v>2874</v>
      </c>
      <c r="Y14" s="117" t="s">
        <v>2873</v>
      </c>
      <c r="Z14" s="117" t="s">
        <v>2874</v>
      </c>
      <c r="AA14" s="117" t="s">
        <v>2874</v>
      </c>
      <c r="AB14" s="27"/>
    </row>
    <row r="15" spans="1:28" s="9" customFormat="1" ht="33" x14ac:dyDescent="0.3">
      <c r="A15" s="27" t="s">
        <v>2870</v>
      </c>
      <c r="B15" s="27"/>
      <c r="C15" s="119"/>
      <c r="D15" s="120">
        <v>44940</v>
      </c>
      <c r="E15" s="119" t="s">
        <v>2873</v>
      </c>
      <c r="F15" s="119" t="s">
        <v>2873</v>
      </c>
      <c r="G15" s="119" t="s">
        <v>2874</v>
      </c>
      <c r="H15" s="120">
        <v>44996</v>
      </c>
      <c r="I15" s="124" t="s">
        <v>2874</v>
      </c>
      <c r="J15" s="125" t="s">
        <v>2879</v>
      </c>
      <c r="K15" s="119" t="s">
        <v>2807</v>
      </c>
      <c r="L15" s="126">
        <v>4.5138888888888888E-2</v>
      </c>
      <c r="M15" s="125" t="s">
        <v>2820</v>
      </c>
      <c r="N15" s="119" t="s">
        <v>76</v>
      </c>
      <c r="O15" s="117" t="s">
        <v>82</v>
      </c>
      <c r="P15" s="119" t="s">
        <v>2873</v>
      </c>
      <c r="Q15" s="119" t="s">
        <v>92</v>
      </c>
      <c r="R15" s="119"/>
      <c r="S15" s="119" t="s">
        <v>2805</v>
      </c>
      <c r="T15" s="117" t="s">
        <v>2874</v>
      </c>
      <c r="U15" s="117" t="s">
        <v>2874</v>
      </c>
      <c r="V15" s="117" t="s">
        <v>2873</v>
      </c>
      <c r="W15" s="117" t="s">
        <v>2873</v>
      </c>
      <c r="X15" s="117" t="s">
        <v>2873</v>
      </c>
      <c r="Y15" s="117" t="s">
        <v>2874</v>
      </c>
      <c r="Z15" s="117" t="s">
        <v>2874</v>
      </c>
      <c r="AA15" s="117" t="s">
        <v>2874</v>
      </c>
      <c r="AB15" s="27"/>
    </row>
    <row r="16" spans="1:28" s="9" customFormat="1" x14ac:dyDescent="0.3">
      <c r="A16" s="27" t="s">
        <v>2870</v>
      </c>
      <c r="B16" s="27"/>
      <c r="C16" s="119"/>
      <c r="D16" s="120">
        <v>44941</v>
      </c>
      <c r="E16" s="119" t="s">
        <v>2874</v>
      </c>
      <c r="F16" s="119" t="s">
        <v>2873</v>
      </c>
      <c r="G16" s="119" t="s">
        <v>2874</v>
      </c>
      <c r="H16" s="120">
        <v>44997</v>
      </c>
      <c r="I16" s="124" t="s">
        <v>2874</v>
      </c>
      <c r="J16" s="125" t="s">
        <v>2880</v>
      </c>
      <c r="K16" s="119" t="s">
        <v>2804</v>
      </c>
      <c r="L16" s="126">
        <v>0.875</v>
      </c>
      <c r="M16" s="125" t="s">
        <v>2817</v>
      </c>
      <c r="N16" s="119" t="s">
        <v>68</v>
      </c>
      <c r="O16" s="117" t="s">
        <v>86</v>
      </c>
      <c r="P16" s="119" t="s">
        <v>2873</v>
      </c>
      <c r="Q16" s="119" t="s">
        <v>2801</v>
      </c>
      <c r="R16" s="119"/>
      <c r="S16" s="119" t="s">
        <v>2802</v>
      </c>
      <c r="T16" s="117" t="s">
        <v>2873</v>
      </c>
      <c r="U16" s="117" t="s">
        <v>2873</v>
      </c>
      <c r="V16" s="117" t="s">
        <v>2874</v>
      </c>
      <c r="W16" s="117" t="s">
        <v>2873</v>
      </c>
      <c r="X16" s="117" t="s">
        <v>2873</v>
      </c>
      <c r="Y16" s="117" t="s">
        <v>2874</v>
      </c>
      <c r="Z16" s="117" t="s">
        <v>2874</v>
      </c>
      <c r="AA16" s="117" t="s">
        <v>2873</v>
      </c>
      <c r="AB16" s="27"/>
    </row>
    <row r="17" spans="1:28" s="9" customFormat="1" ht="33" x14ac:dyDescent="0.3">
      <c r="A17" s="27" t="s">
        <v>2876</v>
      </c>
      <c r="B17" s="27"/>
      <c r="C17" s="119"/>
      <c r="D17" s="120">
        <v>44942</v>
      </c>
      <c r="E17" s="119" t="s">
        <v>2873</v>
      </c>
      <c r="F17" s="119" t="s">
        <v>2873</v>
      </c>
      <c r="G17" s="119" t="s">
        <v>2873</v>
      </c>
      <c r="H17" s="120">
        <v>44998</v>
      </c>
      <c r="I17" s="124" t="s">
        <v>2874</v>
      </c>
      <c r="J17" s="125" t="s">
        <v>2883</v>
      </c>
      <c r="K17" s="119" t="s">
        <v>2800</v>
      </c>
      <c r="L17" s="126">
        <v>0.21388888888888891</v>
      </c>
      <c r="M17" s="125" t="s">
        <v>2821</v>
      </c>
      <c r="N17" s="119" t="s">
        <v>68</v>
      </c>
      <c r="O17" s="117" t="s">
        <v>82</v>
      </c>
      <c r="P17" s="119" t="s">
        <v>2874</v>
      </c>
      <c r="Q17" s="119"/>
      <c r="R17" s="119"/>
      <c r="S17" s="119" t="s">
        <v>2802</v>
      </c>
      <c r="T17" s="117" t="s">
        <v>2873</v>
      </c>
      <c r="U17" s="117" t="s">
        <v>2873</v>
      </c>
      <c r="V17" s="117" t="s">
        <v>2874</v>
      </c>
      <c r="W17" s="117" t="s">
        <v>2874</v>
      </c>
      <c r="X17" s="117" t="s">
        <v>2873</v>
      </c>
      <c r="Y17" s="117" t="s">
        <v>2874</v>
      </c>
      <c r="Z17" s="117" t="s">
        <v>2873</v>
      </c>
      <c r="AA17" s="117" t="s">
        <v>2874</v>
      </c>
      <c r="AB17" s="27"/>
    </row>
    <row r="18" spans="1:28" s="9" customFormat="1" x14ac:dyDescent="0.3">
      <c r="A18" s="27" t="s">
        <v>2870</v>
      </c>
      <c r="B18" s="27"/>
      <c r="C18" s="119"/>
      <c r="D18" s="120">
        <v>44943</v>
      </c>
      <c r="E18" s="119" t="s">
        <v>2873</v>
      </c>
      <c r="F18" s="119" t="s">
        <v>2873</v>
      </c>
      <c r="G18" s="119" t="s">
        <v>2874</v>
      </c>
      <c r="H18" s="120">
        <v>44999</v>
      </c>
      <c r="I18" s="124" t="s">
        <v>2874</v>
      </c>
      <c r="J18" s="125" t="s">
        <v>2881</v>
      </c>
      <c r="K18" s="119" t="s">
        <v>2804</v>
      </c>
      <c r="L18" s="126">
        <v>0.80486111111111114</v>
      </c>
      <c r="M18" s="125" t="s">
        <v>2815</v>
      </c>
      <c r="N18" s="119" t="s">
        <v>77</v>
      </c>
      <c r="O18" s="117" t="s">
        <v>83</v>
      </c>
      <c r="P18" s="119" t="s">
        <v>2873</v>
      </c>
      <c r="Q18" s="119" t="s">
        <v>2801</v>
      </c>
      <c r="R18" s="119"/>
      <c r="S18" s="119" t="s">
        <v>2802</v>
      </c>
      <c r="T18" s="117" t="s">
        <v>2874</v>
      </c>
      <c r="U18" s="117" t="s">
        <v>2873</v>
      </c>
      <c r="V18" s="117" t="s">
        <v>2874</v>
      </c>
      <c r="W18" s="117" t="s">
        <v>2873</v>
      </c>
      <c r="X18" s="117" t="s">
        <v>2873</v>
      </c>
      <c r="Y18" s="117" t="s">
        <v>2874</v>
      </c>
      <c r="Z18" s="117" t="s">
        <v>2874</v>
      </c>
      <c r="AA18" s="117" t="s">
        <v>2874</v>
      </c>
      <c r="AB18" s="27"/>
    </row>
    <row r="19" spans="1:28" s="9" customFormat="1" x14ac:dyDescent="0.3">
      <c r="A19" s="27" t="s">
        <v>2870</v>
      </c>
      <c r="B19" s="27"/>
      <c r="C19" s="119"/>
      <c r="D19" s="120">
        <v>44986</v>
      </c>
      <c r="E19" s="119" t="s">
        <v>2873</v>
      </c>
      <c r="F19" s="119" t="s">
        <v>2873</v>
      </c>
      <c r="G19" s="119" t="s">
        <v>2873</v>
      </c>
      <c r="H19" s="120">
        <v>45000</v>
      </c>
      <c r="I19" s="124" t="s">
        <v>2873</v>
      </c>
      <c r="J19" s="125" t="s">
        <v>2882</v>
      </c>
      <c r="K19" s="119" t="s">
        <v>2807</v>
      </c>
      <c r="L19" s="126">
        <v>4.5138888888888888E-2</v>
      </c>
      <c r="M19" s="125" t="s">
        <v>2820</v>
      </c>
      <c r="N19" s="119" t="s">
        <v>72</v>
      </c>
      <c r="O19" s="117" t="s">
        <v>84</v>
      </c>
      <c r="P19" s="119" t="s">
        <v>2873</v>
      </c>
      <c r="Q19" s="119" t="s">
        <v>92</v>
      </c>
      <c r="R19" s="119"/>
      <c r="S19" s="119" t="s">
        <v>2802</v>
      </c>
      <c r="T19" s="117" t="s">
        <v>2873</v>
      </c>
      <c r="U19" s="117" t="s">
        <v>2873</v>
      </c>
      <c r="V19" s="117" t="s">
        <v>2873</v>
      </c>
      <c r="W19" s="117" t="s">
        <v>2873</v>
      </c>
      <c r="X19" s="117" t="s">
        <v>2874</v>
      </c>
      <c r="Y19" s="117" t="s">
        <v>2873</v>
      </c>
      <c r="Z19" s="117" t="s">
        <v>2874</v>
      </c>
      <c r="AA19" s="117" t="s">
        <v>2874</v>
      </c>
      <c r="AB19" s="27"/>
    </row>
    <row r="20" spans="1:28" s="9" customFormat="1" x14ac:dyDescent="0.3">
      <c r="A20" s="27" t="s">
        <v>2878</v>
      </c>
      <c r="B20" s="27"/>
      <c r="C20" s="119"/>
      <c r="D20" s="120">
        <v>44945</v>
      </c>
      <c r="E20" s="119" t="s">
        <v>2873</v>
      </c>
      <c r="F20" s="119" t="s">
        <v>2873</v>
      </c>
      <c r="G20" s="119" t="s">
        <v>2873</v>
      </c>
      <c r="H20" s="120">
        <v>45001</v>
      </c>
      <c r="I20" s="124" t="s">
        <v>2874</v>
      </c>
      <c r="J20" s="125" t="s">
        <v>2875</v>
      </c>
      <c r="K20" s="119" t="s">
        <v>2800</v>
      </c>
      <c r="L20" s="126">
        <v>0.65555555555555556</v>
      </c>
      <c r="M20" s="125" t="s">
        <v>2813</v>
      </c>
      <c r="N20" s="119" t="s">
        <v>68</v>
      </c>
      <c r="O20" s="117" t="s">
        <v>32</v>
      </c>
      <c r="P20" s="119" t="s">
        <v>2873</v>
      </c>
      <c r="Q20" s="119" t="s">
        <v>91</v>
      </c>
      <c r="R20" s="119"/>
      <c r="S20" s="119" t="s">
        <v>2805</v>
      </c>
      <c r="T20" s="117" t="s">
        <v>2874</v>
      </c>
      <c r="U20" s="117" t="s">
        <v>2873</v>
      </c>
      <c r="V20" s="117" t="s">
        <v>2874</v>
      </c>
      <c r="W20" s="117" t="s">
        <v>2873</v>
      </c>
      <c r="X20" s="117" t="s">
        <v>2873</v>
      </c>
      <c r="Y20" s="117" t="s">
        <v>2874</v>
      </c>
      <c r="Z20" s="117" t="s">
        <v>2874</v>
      </c>
      <c r="AA20" s="117" t="s">
        <v>2873</v>
      </c>
      <c r="AB20" s="27"/>
    </row>
    <row r="21" spans="1:28" s="9" customFormat="1" x14ac:dyDescent="0.3">
      <c r="A21" s="27" t="s">
        <v>2870</v>
      </c>
      <c r="B21" s="27"/>
      <c r="C21" s="119"/>
      <c r="D21" s="120">
        <v>44896</v>
      </c>
      <c r="E21" s="119" t="s">
        <v>2873</v>
      </c>
      <c r="F21" s="119" t="s">
        <v>2873</v>
      </c>
      <c r="G21" s="119" t="s">
        <v>2873</v>
      </c>
      <c r="H21" s="120">
        <v>44917</v>
      </c>
      <c r="I21" s="124" t="s">
        <v>2873</v>
      </c>
      <c r="J21" s="125" t="s">
        <v>2875</v>
      </c>
      <c r="K21" s="119" t="s">
        <v>2807</v>
      </c>
      <c r="L21" s="126">
        <v>4.5138888888888888E-2</v>
      </c>
      <c r="M21" s="125" t="s">
        <v>2820</v>
      </c>
      <c r="N21" s="119" t="s">
        <v>73</v>
      </c>
      <c r="O21" s="117" t="s">
        <v>86</v>
      </c>
      <c r="P21" s="119" t="s">
        <v>2873</v>
      </c>
      <c r="Q21" s="119" t="s">
        <v>2801</v>
      </c>
      <c r="R21" s="119"/>
      <c r="S21" s="119" t="s">
        <v>2802</v>
      </c>
      <c r="T21" s="117" t="s">
        <v>2873</v>
      </c>
      <c r="U21" s="117" t="s">
        <v>2873</v>
      </c>
      <c r="V21" s="117" t="s">
        <v>2874</v>
      </c>
      <c r="W21" s="117" t="s">
        <v>2873</v>
      </c>
      <c r="X21" s="117" t="s">
        <v>2873</v>
      </c>
      <c r="Y21" s="117" t="s">
        <v>2874</v>
      </c>
      <c r="Z21" s="117" t="s">
        <v>2874</v>
      </c>
      <c r="AA21" s="117" t="s">
        <v>2874</v>
      </c>
      <c r="AB21" s="27"/>
    </row>
    <row r="22" spans="1:28" s="9" customFormat="1" x14ac:dyDescent="0.3">
      <c r="A22" s="27" t="s">
        <v>2878</v>
      </c>
      <c r="B22" s="27"/>
      <c r="C22" s="119"/>
      <c r="D22" s="120">
        <v>44947</v>
      </c>
      <c r="E22" s="119" t="s">
        <v>2873</v>
      </c>
      <c r="F22" s="119" t="s">
        <v>2874</v>
      </c>
      <c r="G22" s="119" t="s">
        <v>2873</v>
      </c>
      <c r="H22" s="120">
        <v>45003</v>
      </c>
      <c r="I22" s="124" t="str">
        <f t="shared" ref="I22" si="0">IF(H22="","",IF(H22-D22&lt;=30,"Yes","No"))</f>
        <v>No</v>
      </c>
      <c r="J22" s="125" t="str">
        <f t="shared" ref="J22" si="1">IF(H22&lt;&gt;"",TEXT(H22,"ddd"),"")</f>
        <v>Sat</v>
      </c>
      <c r="K22" s="119" t="s">
        <v>2807</v>
      </c>
      <c r="L22" s="126">
        <v>4.5138888888888888E-2</v>
      </c>
      <c r="M22" s="125" t="str">
        <f>IF(AND(L22&gt;=ref!$L$2,L22&lt;=ref!$M$2),ref!$K$2,IF(AND(L22&gt;=ref!$L$3,L22&lt;=ref!$M$3),ref!$K$3,IF(AND(L22&gt;=ref!$L$4,L22&lt;=ref!$M$4),ref!$K$4,IF(AND(L22&gt;=ref!$L$5,L22&lt;=ref!$M$5),ref!$K$5,IF(AND(L22&gt;=ref!$L$6,L22&lt;=ref!$M$6),ref!$K$6,IF(AND(L22&gt;=ref!$L$7,L22&lt;=ref!$M$7),ref!$K$7,IF(AND(L22&gt;=ref!$L$8,L22&lt;=ref!$M$8),ref!$K$8,IF(AND(L22&gt;=ref!$L$9,L22&lt;=ref!$M$9),ref!$K$9,IF(AND(L22&gt;=ref!$L$11,L22&lt;=ref!$M$11),ref!$K$11,IF(AND(L22&gt;=ref!$L$12,L22&lt;=ref!$M$12),ref!$K$12,""))))))))))</f>
        <v>1-4:59am</v>
      </c>
      <c r="N22" s="27"/>
      <c r="O22" s="21"/>
      <c r="P22" s="27"/>
      <c r="Q22" s="27"/>
      <c r="R22" s="27"/>
      <c r="S22" s="27"/>
      <c r="T22" s="117"/>
      <c r="U22" s="117"/>
      <c r="V22" s="117"/>
      <c r="W22" s="117"/>
      <c r="X22" s="117"/>
      <c r="Y22" s="117"/>
      <c r="Z22" s="117"/>
      <c r="AA22" s="117"/>
      <c r="AB22" s="27"/>
    </row>
    <row r="23" spans="1:28" s="9" customFormat="1" x14ac:dyDescent="0.3"/>
  </sheetData>
  <sheetProtection sheet="1" objects="1" scenarios="1"/>
  <mergeCells count="3">
    <mergeCell ref="A1:O1"/>
    <mergeCell ref="T4:AA4"/>
    <mergeCell ref="F3:K3"/>
  </mergeCells>
  <dataValidations count="3">
    <dataValidation type="list" allowBlank="1" showInputMessage="1" showErrorMessage="1" sqref="S6:S22" xr:uid="{AA2BDB8E-1181-449B-BB85-8056353B6957}">
      <formula1>"Facility,ER,Admitted"</formula1>
    </dataValidation>
    <dataValidation type="list" allowBlank="1" showInputMessage="1" showErrorMessage="1" sqref="P6:P22 T6:AA22 E6:G22" xr:uid="{79B1F5E6-055A-457F-9115-65A4846FFB07}">
      <formula1>"Yes, No"</formula1>
    </dataValidation>
    <dataValidation type="list" allowBlank="1" showInputMessage="1" showErrorMessage="1" sqref="K6:K22" xr:uid="{D2F3B2DD-9416-4757-AC40-8A645F994E99}">
      <formula1>"Day,Evening,Night"</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F4F48653-0A1A-41FD-85AE-EDA6A261FFDA}">
          <x14:formula1>
            <xm:f>ref!$D$2:$D$8</xm:f>
          </x14:formula1>
          <xm:sqref>O6:O22</xm:sqref>
        </x14:dataValidation>
        <x14:dataValidation type="list" allowBlank="1" showInputMessage="1" showErrorMessage="1" xr:uid="{13CCCE53-B8B6-4375-BAB9-59F2A91DDD0F}">
          <x14:formula1>
            <xm:f>'Unit Designation'!$A$9:$A$29</xm:f>
          </x14:formula1>
          <xm:sqref>A6:A22</xm:sqref>
        </x14:dataValidation>
        <x14:dataValidation type="list" allowBlank="1" showInputMessage="1" showErrorMessage="1" xr:uid="{C4736444-FD07-47E4-A534-BFEC8A6A752C}">
          <x14:formula1>
            <xm:f>ref!$E$2:$E$8</xm:f>
          </x14:formula1>
          <xm:sqref>Q6:Q22</xm:sqref>
        </x14:dataValidation>
        <x14:dataValidation type="list" allowBlank="1" showInputMessage="1" showErrorMessage="1" xr:uid="{CA939CEC-526B-4954-A6E6-435CAFC1E860}">
          <x14:formula1>
            <xm:f>ref!$B$2:$B$12</xm:f>
          </x14:formula1>
          <xm:sqref>N6:N22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7172-D208-4753-BD13-40BDA43CF032}">
  <dimension ref="A1:AB998"/>
  <sheetViews>
    <sheetView showGridLines="0" workbookViewId="0">
      <pane xSplit="3" ySplit="5" topLeftCell="D6" activePane="bottomRight" state="frozen"/>
      <selection pane="topRight" activeCell="D1" sqref="D1"/>
      <selection pane="bottomLeft" activeCell="A8" sqref="A8"/>
      <selection pane="bottomRight" activeCell="Z17" sqref="Z17"/>
    </sheetView>
  </sheetViews>
  <sheetFormatPr defaultColWidth="9.140625" defaultRowHeight="16.5" x14ac:dyDescent="0.3"/>
  <cols>
    <col min="1" max="1" width="26.85546875" style="7" customWidth="1"/>
    <col min="2" max="2" width="45.28515625" style="7" customWidth="1"/>
    <col min="3" max="3" width="29.7109375" style="7" customWidth="1"/>
    <col min="4" max="4" width="13.28515625" style="7" customWidth="1"/>
    <col min="5" max="5" width="13.85546875" style="7" customWidth="1"/>
    <col min="6" max="6" width="15.5703125" style="7" customWidth="1"/>
    <col min="7" max="7" width="16.7109375" style="7" customWidth="1"/>
    <col min="8" max="8" width="14.28515625" style="7" customWidth="1"/>
    <col min="9" max="9" width="19.85546875" style="7" customWidth="1"/>
    <col min="10" max="10" width="14" style="7" customWidth="1"/>
    <col min="11" max="11" width="11.7109375" style="7" customWidth="1"/>
    <col min="12" max="12" width="24" style="7" customWidth="1"/>
    <col min="13" max="13" width="13.7109375" style="7" customWidth="1"/>
    <col min="14" max="14" width="12.140625" style="7" customWidth="1"/>
    <col min="15" max="15" width="12.5703125" style="7" customWidth="1"/>
    <col min="16" max="16" width="19.140625" style="7" customWidth="1"/>
    <col min="17" max="17" width="29.28515625" style="9" customWidth="1"/>
    <col min="18" max="18" width="16.42578125" style="7" customWidth="1"/>
    <col min="19" max="19" width="18" style="7" customWidth="1"/>
    <col min="20" max="24" width="16" style="7" customWidth="1"/>
    <col min="25" max="25" width="17.28515625" style="7" customWidth="1"/>
    <col min="26" max="26" width="17.7109375" style="7" customWidth="1"/>
    <col min="27" max="27" width="16" style="7" customWidth="1"/>
    <col min="28" max="28" width="26.28515625" style="7" customWidth="1"/>
    <col min="29" max="16384" width="9.140625" style="7"/>
  </cols>
  <sheetData>
    <row r="1" spans="1:28" ht="40.5" x14ac:dyDescent="0.7">
      <c r="A1" s="115" t="s">
        <v>2846</v>
      </c>
      <c r="B1" s="115"/>
      <c r="C1" s="115"/>
      <c r="D1" s="115"/>
      <c r="E1" s="115"/>
      <c r="F1" s="115"/>
      <c r="G1" s="115"/>
      <c r="H1" s="115"/>
      <c r="I1" s="115"/>
      <c r="J1" s="115"/>
      <c r="K1" s="115"/>
      <c r="L1" s="115"/>
      <c r="M1" s="115"/>
      <c r="N1" s="115"/>
      <c r="O1" s="115"/>
    </row>
    <row r="3" spans="1:28" ht="26.25" thickBot="1" x14ac:dyDescent="0.55000000000000004">
      <c r="A3" s="10" t="s">
        <v>2847</v>
      </c>
    </row>
    <row r="4" spans="1:28" ht="18.75" thickTop="1" thickBot="1" x14ac:dyDescent="0.35">
      <c r="A4" t="s">
        <v>2849</v>
      </c>
      <c r="T4" s="182" t="s">
        <v>2850</v>
      </c>
      <c r="U4" s="183"/>
      <c r="V4" s="183"/>
      <c r="W4" s="183"/>
      <c r="X4" s="183"/>
      <c r="Y4" s="183"/>
      <c r="Z4" s="183"/>
      <c r="AA4" s="184"/>
    </row>
    <row r="5" spans="1:28" s="15" customFormat="1" ht="70.5" thickTop="1" thickBot="1" x14ac:dyDescent="0.3">
      <c r="A5" s="12" t="s">
        <v>2851</v>
      </c>
      <c r="B5" s="13" t="s">
        <v>2852</v>
      </c>
      <c r="C5" s="13" t="s">
        <v>2853</v>
      </c>
      <c r="D5" s="13" t="s">
        <v>2854</v>
      </c>
      <c r="E5" s="13" t="s">
        <v>2855</v>
      </c>
      <c r="F5" s="13" t="s">
        <v>2856</v>
      </c>
      <c r="G5" s="13" t="s">
        <v>2857</v>
      </c>
      <c r="H5" s="13" t="s">
        <v>2858</v>
      </c>
      <c r="I5" s="13" t="s">
        <v>2859</v>
      </c>
      <c r="J5" s="13" t="s">
        <v>2860</v>
      </c>
      <c r="K5" s="13" t="s">
        <v>2861</v>
      </c>
      <c r="L5" s="13" t="s">
        <v>2862</v>
      </c>
      <c r="M5" s="13" t="s">
        <v>2863</v>
      </c>
      <c r="N5" s="13" t="s">
        <v>2864</v>
      </c>
      <c r="O5" s="13" t="s">
        <v>2865</v>
      </c>
      <c r="P5" s="13" t="s">
        <v>2866</v>
      </c>
      <c r="Q5" s="13" t="s">
        <v>2793</v>
      </c>
      <c r="R5" s="13" t="s">
        <v>2867</v>
      </c>
      <c r="S5" s="13" t="s">
        <v>2868</v>
      </c>
      <c r="T5" s="14" t="s">
        <v>23</v>
      </c>
      <c r="U5" s="14" t="s">
        <v>24</v>
      </c>
      <c r="V5" s="14" t="s">
        <v>25</v>
      </c>
      <c r="W5" s="14" t="s">
        <v>26</v>
      </c>
      <c r="X5" s="14" t="s">
        <v>27</v>
      </c>
      <c r="Y5" s="14" t="s">
        <v>28</v>
      </c>
      <c r="Z5" s="14" t="s">
        <v>29</v>
      </c>
      <c r="AA5" s="14" t="s">
        <v>32</v>
      </c>
      <c r="AB5" s="13" t="s">
        <v>2869</v>
      </c>
    </row>
    <row r="6" spans="1:28" ht="17.25" thickTop="1" x14ac:dyDescent="0.3">
      <c r="A6" s="16"/>
      <c r="B6" s="16"/>
      <c r="C6" s="16"/>
      <c r="D6" s="17"/>
      <c r="E6" s="16"/>
      <c r="F6" s="16"/>
      <c r="G6" s="16"/>
      <c r="H6" s="17"/>
      <c r="I6" s="18"/>
      <c r="J6" s="19"/>
      <c r="K6" s="16"/>
      <c r="L6" s="20"/>
      <c r="M6" s="25"/>
      <c r="N6" s="16"/>
      <c r="O6" s="16"/>
      <c r="P6" s="16"/>
      <c r="Q6" s="21"/>
      <c r="R6" s="16"/>
      <c r="S6" s="16"/>
      <c r="T6" s="16"/>
      <c r="U6" s="16"/>
      <c r="V6" s="16"/>
      <c r="W6" s="16"/>
      <c r="X6" s="16"/>
      <c r="Y6" s="16"/>
      <c r="Z6" s="16"/>
      <c r="AA6" s="16"/>
      <c r="AB6" s="16"/>
    </row>
    <row r="7" spans="1:28" x14ac:dyDescent="0.3">
      <c r="A7" s="22"/>
      <c r="B7" s="22"/>
      <c r="C7" s="22"/>
      <c r="D7" s="23"/>
      <c r="E7" s="22"/>
      <c r="F7" s="22"/>
      <c r="G7" s="22"/>
      <c r="H7" s="23"/>
      <c r="I7" s="24"/>
      <c r="J7" s="25"/>
      <c r="K7" s="22"/>
      <c r="L7" s="26"/>
      <c r="M7" s="25" t="str">
        <f>IF(AND(L7&gt;=ref!$L$2,L7&lt;=ref!$M$2),ref!$K$2,IF(AND(L7&gt;=ref!$L$3,L7&lt;=ref!$M$3),ref!$K$3,IF(AND(L7&gt;=ref!$L$4,L7&lt;=ref!$M$4),ref!$K$4,IF(AND(L7&gt;=ref!$L$5,L7&lt;=ref!$M$5),ref!$K$5,IF(AND(L7&gt;=ref!$L$6,L7&lt;=ref!$M$6),ref!$K$6,IF(AND(L7&gt;=ref!$L$7,L7&lt;=ref!$M$7),ref!$K$7,IF(AND(L7&gt;=ref!$L$8,L7&lt;=ref!$M$8),ref!$K$8,IF(AND(L7&gt;=ref!$L$9,L7&lt;=ref!$M$9),ref!$K$9,IF(AND(L7&gt;=ref!$L$11,L7&lt;=ref!$M$11),ref!$K$11,IF(AND(L7&gt;=ref!$L$12,L7&lt;=ref!$M$12),ref!$K$12,""))))))))))</f>
        <v/>
      </c>
      <c r="N7" s="22"/>
      <c r="O7" s="16"/>
      <c r="P7" s="22"/>
      <c r="Q7" s="27"/>
      <c r="R7" s="22"/>
      <c r="S7" s="22"/>
      <c r="T7" s="16"/>
      <c r="U7" s="16"/>
      <c r="V7" s="16"/>
      <c r="W7" s="16"/>
      <c r="X7" s="16"/>
      <c r="Y7" s="16"/>
      <c r="Z7" s="16"/>
      <c r="AA7" s="16"/>
      <c r="AB7" s="22"/>
    </row>
    <row r="8" spans="1:28" x14ac:dyDescent="0.3">
      <c r="A8" s="22"/>
      <c r="B8" s="22"/>
      <c r="C8" s="22"/>
      <c r="D8" s="23"/>
      <c r="E8" s="22"/>
      <c r="F8" s="22"/>
      <c r="G8" s="22"/>
      <c r="H8" s="23"/>
      <c r="I8" s="24"/>
      <c r="J8" s="25"/>
      <c r="K8" s="22"/>
      <c r="L8" s="26"/>
      <c r="M8" s="25" t="str">
        <f>IF(AND(L8&gt;=ref!$L$2,L8&lt;=ref!$M$2),ref!$K$2,IF(AND(L8&gt;=ref!$L$3,L8&lt;=ref!$M$3),ref!$K$3,IF(AND(L8&gt;=ref!$L$4,L8&lt;=ref!$M$4),ref!$K$4,IF(AND(L8&gt;=ref!$L$5,L8&lt;=ref!$M$5),ref!$K$5,IF(AND(L8&gt;=ref!$L$6,L8&lt;=ref!$M$6),ref!$K$6,IF(AND(L8&gt;=ref!$L$7,L8&lt;=ref!$M$7),ref!$K$7,IF(AND(L8&gt;=ref!$L$8,L8&lt;=ref!$M$8),ref!$K$8,IF(AND(L8&gt;=ref!$L$9,L8&lt;=ref!$M$9),ref!$K$9,IF(AND(L8&gt;=ref!$L$11,L8&lt;=ref!$M$11),ref!$K$11,IF(AND(L8&gt;=ref!$L$12,L8&lt;=ref!$M$12),ref!$K$12,""))))))))))</f>
        <v/>
      </c>
      <c r="N8" s="22"/>
      <c r="O8" s="16"/>
      <c r="P8" s="22"/>
      <c r="Q8" s="27"/>
      <c r="R8" s="22"/>
      <c r="S8" s="22"/>
      <c r="T8" s="16"/>
      <c r="U8" s="16"/>
      <c r="V8" s="16"/>
      <c r="W8" s="16"/>
      <c r="X8" s="16"/>
      <c r="Y8" s="16"/>
      <c r="Z8" s="16"/>
      <c r="AA8" s="16"/>
      <c r="AB8" s="22"/>
    </row>
    <row r="9" spans="1:28" x14ac:dyDescent="0.3">
      <c r="A9" s="22"/>
      <c r="B9" s="22"/>
      <c r="C9" s="22"/>
      <c r="D9" s="23"/>
      <c r="E9" s="22"/>
      <c r="F9" s="22"/>
      <c r="G9" s="22"/>
      <c r="H9" s="23"/>
      <c r="I9" s="24" t="str">
        <f t="shared" ref="I9:I70" si="0">IF(H9="","",IF(H9-D9&lt;=30,"Yes","No"))</f>
        <v/>
      </c>
      <c r="J9" s="25" t="str">
        <f t="shared" ref="J9:J70" si="1">IF(H9&lt;&gt;"",TEXT(H9,"ddd"),"")</f>
        <v/>
      </c>
      <c r="K9" s="22"/>
      <c r="L9" s="26"/>
      <c r="M9" s="25" t="str">
        <f>IF(AND(L9&gt;=ref!$L$2,L9&lt;=ref!$M$2),ref!$K$2,IF(AND(L9&gt;=ref!$L$3,L9&lt;=ref!$M$3),ref!$K$3,IF(AND(L9&gt;=ref!$L$4,L9&lt;=ref!$M$4),ref!$K$4,IF(AND(L9&gt;=ref!$L$5,L9&lt;=ref!$M$5),ref!$K$5,IF(AND(L9&gt;=ref!$L$6,L9&lt;=ref!$M$6),ref!$K$6,IF(AND(L9&gt;=ref!$L$7,L9&lt;=ref!$M$7),ref!$K$7,IF(AND(L9&gt;=ref!$L$8,L9&lt;=ref!$M$8),ref!$K$8,IF(AND(L9&gt;=ref!$L$9,L9&lt;=ref!$M$9),ref!$K$9,IF(AND(L9&gt;=ref!$L$11,L9&lt;=ref!$M$11),ref!$K$11,IF(AND(L9&gt;=ref!$L$12,L9&lt;=ref!$M$12),ref!$K$12,""))))))))))</f>
        <v/>
      </c>
      <c r="N9" s="22"/>
      <c r="O9" s="16"/>
      <c r="P9" s="22"/>
      <c r="Q9" s="27"/>
      <c r="R9" s="22"/>
      <c r="S9" s="22"/>
      <c r="T9" s="16"/>
      <c r="U9" s="16"/>
      <c r="V9" s="16"/>
      <c r="W9" s="16"/>
      <c r="X9" s="16"/>
      <c r="Y9" s="16"/>
      <c r="Z9" s="16"/>
      <c r="AA9" s="16"/>
      <c r="AB9" s="22"/>
    </row>
    <row r="10" spans="1:28" x14ac:dyDescent="0.3">
      <c r="A10" s="22"/>
      <c r="B10" s="22"/>
      <c r="C10" s="22"/>
      <c r="D10" s="23"/>
      <c r="E10" s="22"/>
      <c r="F10" s="22"/>
      <c r="G10" s="22"/>
      <c r="H10" s="23"/>
      <c r="I10" s="24" t="str">
        <f t="shared" si="0"/>
        <v/>
      </c>
      <c r="J10" s="25" t="str">
        <f t="shared" si="1"/>
        <v/>
      </c>
      <c r="K10" s="22"/>
      <c r="L10" s="26"/>
      <c r="M10" s="25" t="str">
        <f>IF(AND(L10&gt;=ref!$L$2,L10&lt;=ref!$M$2),ref!$K$2,IF(AND(L10&gt;=ref!$L$3,L10&lt;=ref!$M$3),ref!$K$3,IF(AND(L10&gt;=ref!$L$4,L10&lt;=ref!$M$4),ref!$K$4,IF(AND(L10&gt;=ref!$L$5,L10&lt;=ref!$M$5),ref!$K$5,IF(AND(L10&gt;=ref!$L$6,L10&lt;=ref!$M$6),ref!$K$6,IF(AND(L10&gt;=ref!$L$7,L10&lt;=ref!$M$7),ref!$K$7,IF(AND(L10&gt;=ref!$L$8,L10&lt;=ref!$M$8),ref!$K$8,IF(AND(L10&gt;=ref!$L$9,L10&lt;=ref!$M$9),ref!$K$9,IF(AND(L10&gt;=ref!$L$11,L10&lt;=ref!$M$11),ref!$K$11,IF(AND(L10&gt;=ref!$L$12,L10&lt;=ref!$M$12),ref!$K$12,""))))))))))</f>
        <v/>
      </c>
      <c r="N10" s="22"/>
      <c r="O10" s="16"/>
      <c r="P10" s="22"/>
      <c r="Q10" s="27"/>
      <c r="R10" s="22"/>
      <c r="S10" s="22"/>
      <c r="T10" s="16"/>
      <c r="U10" s="16"/>
      <c r="V10" s="16"/>
      <c r="W10" s="16"/>
      <c r="X10" s="16"/>
      <c r="Y10" s="16"/>
      <c r="Z10" s="16"/>
      <c r="AA10" s="16"/>
      <c r="AB10" s="22"/>
    </row>
    <row r="11" spans="1:28" x14ac:dyDescent="0.3">
      <c r="A11" s="22"/>
      <c r="B11" s="22"/>
      <c r="C11" s="22"/>
      <c r="D11" s="23"/>
      <c r="E11" s="22"/>
      <c r="F11" s="22"/>
      <c r="G11" s="22"/>
      <c r="H11" s="23"/>
      <c r="I11" s="24" t="str">
        <f t="shared" si="0"/>
        <v/>
      </c>
      <c r="J11" s="25" t="str">
        <f t="shared" si="1"/>
        <v/>
      </c>
      <c r="K11" s="22"/>
      <c r="L11" s="26"/>
      <c r="M11" s="25" t="str">
        <f>IF(AND(L11&gt;=ref!$L$2,L11&lt;=ref!$M$2),ref!$K$2,IF(AND(L11&gt;=ref!$L$3,L11&lt;=ref!$M$3),ref!$K$3,IF(AND(L11&gt;=ref!$L$4,L11&lt;=ref!$M$4),ref!$K$4,IF(AND(L11&gt;=ref!$L$5,L11&lt;=ref!$M$5),ref!$K$5,IF(AND(L11&gt;=ref!$L$6,L11&lt;=ref!$M$6),ref!$K$6,IF(AND(L11&gt;=ref!$L$7,L11&lt;=ref!$M$7),ref!$K$7,IF(AND(L11&gt;=ref!$L$8,L11&lt;=ref!$M$8),ref!$K$8,IF(AND(L11&gt;=ref!$L$9,L11&lt;=ref!$M$9),ref!$K$9,IF(AND(L11&gt;=ref!$L$11,L11&lt;=ref!$M$11),ref!$K$11,IF(AND(L11&gt;=ref!$L$12,L11&lt;=ref!$M$12),ref!$K$12,""))))))))))</f>
        <v/>
      </c>
      <c r="N11" s="22"/>
      <c r="O11" s="16"/>
      <c r="P11" s="22"/>
      <c r="Q11" s="27"/>
      <c r="R11" s="22"/>
      <c r="S11" s="22"/>
      <c r="T11" s="16"/>
      <c r="U11" s="16"/>
      <c r="V11" s="16"/>
      <c r="W11" s="16"/>
      <c r="X11" s="16"/>
      <c r="Y11" s="16"/>
      <c r="Z11" s="16"/>
      <c r="AA11" s="16"/>
      <c r="AB11" s="22"/>
    </row>
    <row r="12" spans="1:28" x14ac:dyDescent="0.3">
      <c r="A12" s="22"/>
      <c r="B12" s="22"/>
      <c r="C12" s="22"/>
      <c r="D12" s="23"/>
      <c r="E12" s="22"/>
      <c r="F12" s="22"/>
      <c r="G12" s="22"/>
      <c r="H12" s="23"/>
      <c r="I12" s="24" t="str">
        <f t="shared" si="0"/>
        <v/>
      </c>
      <c r="J12" s="25" t="str">
        <f t="shared" si="1"/>
        <v/>
      </c>
      <c r="K12" s="22"/>
      <c r="L12" s="26"/>
      <c r="M12" s="25" t="str">
        <f>IF(AND(L12&gt;=ref!$L$2,L12&lt;=ref!$M$2),ref!$K$2,IF(AND(L12&gt;=ref!$L$3,L12&lt;=ref!$M$3),ref!$K$3,IF(AND(L12&gt;=ref!$L$4,L12&lt;=ref!$M$4),ref!$K$4,IF(AND(L12&gt;=ref!$L$5,L12&lt;=ref!$M$5),ref!$K$5,IF(AND(L12&gt;=ref!$L$6,L12&lt;=ref!$M$6),ref!$K$6,IF(AND(L12&gt;=ref!$L$7,L12&lt;=ref!$M$7),ref!$K$7,IF(AND(L12&gt;=ref!$L$8,L12&lt;=ref!$M$8),ref!$K$8,IF(AND(L12&gt;=ref!$L$9,L12&lt;=ref!$M$9),ref!$K$9,IF(AND(L12&gt;=ref!$L$11,L12&lt;=ref!$M$11),ref!$K$11,IF(AND(L12&gt;=ref!$L$12,L12&lt;=ref!$M$12),ref!$K$12,""))))))))))</f>
        <v/>
      </c>
      <c r="N12" s="22"/>
      <c r="O12" s="16"/>
      <c r="P12" s="22"/>
      <c r="Q12" s="27"/>
      <c r="R12" s="22"/>
      <c r="S12" s="22"/>
      <c r="T12" s="16"/>
      <c r="U12" s="16"/>
      <c r="V12" s="16"/>
      <c r="W12" s="16"/>
      <c r="X12" s="16"/>
      <c r="Y12" s="16"/>
      <c r="Z12" s="16"/>
      <c r="AA12" s="16"/>
      <c r="AB12" s="22"/>
    </row>
    <row r="13" spans="1:28" x14ac:dyDescent="0.3">
      <c r="A13" s="22"/>
      <c r="B13" s="22"/>
      <c r="C13" s="22"/>
      <c r="D13" s="23"/>
      <c r="E13" s="22"/>
      <c r="F13" s="22"/>
      <c r="G13" s="22"/>
      <c r="H13" s="23"/>
      <c r="I13" s="24" t="str">
        <f t="shared" si="0"/>
        <v/>
      </c>
      <c r="J13" s="25" t="str">
        <f t="shared" si="1"/>
        <v/>
      </c>
      <c r="K13" s="22"/>
      <c r="L13" s="26"/>
      <c r="M13" s="25" t="str">
        <f>IF(AND(L13&gt;=ref!$L$2,L13&lt;=ref!$M$2),ref!$K$2,IF(AND(L13&gt;=ref!$L$3,L13&lt;=ref!$M$3),ref!$K$3,IF(AND(L13&gt;=ref!$L$4,L13&lt;=ref!$M$4),ref!$K$4,IF(AND(L13&gt;=ref!$L$5,L13&lt;=ref!$M$5),ref!$K$5,IF(AND(L13&gt;=ref!$L$6,L13&lt;=ref!$M$6),ref!$K$6,IF(AND(L13&gt;=ref!$L$7,L13&lt;=ref!$M$7),ref!$K$7,IF(AND(L13&gt;=ref!$L$8,L13&lt;=ref!$M$8),ref!$K$8,IF(AND(L13&gt;=ref!$L$9,L13&lt;=ref!$M$9),ref!$K$9,IF(AND(L13&gt;=ref!$L$11,L13&lt;=ref!$M$11),ref!$K$11,IF(AND(L13&gt;=ref!$L$12,L13&lt;=ref!$M$12),ref!$K$12,""))))))))))</f>
        <v/>
      </c>
      <c r="N13" s="22"/>
      <c r="O13" s="16"/>
      <c r="P13" s="22"/>
      <c r="Q13" s="27"/>
      <c r="R13" s="22"/>
      <c r="S13" s="22"/>
      <c r="T13" s="16"/>
      <c r="U13" s="16"/>
      <c r="V13" s="16"/>
      <c r="W13" s="16"/>
      <c r="X13" s="16"/>
      <c r="Y13" s="16"/>
      <c r="Z13" s="16"/>
      <c r="AA13" s="16"/>
      <c r="AB13" s="22"/>
    </row>
    <row r="14" spans="1:28" x14ac:dyDescent="0.3">
      <c r="A14" s="22"/>
      <c r="B14" s="22"/>
      <c r="C14" s="22"/>
      <c r="D14" s="23"/>
      <c r="E14" s="22"/>
      <c r="F14" s="22"/>
      <c r="G14" s="22"/>
      <c r="H14" s="23"/>
      <c r="I14" s="24" t="str">
        <f t="shared" si="0"/>
        <v/>
      </c>
      <c r="J14" s="25" t="str">
        <f t="shared" si="1"/>
        <v/>
      </c>
      <c r="K14" s="22"/>
      <c r="L14" s="26"/>
      <c r="M14" s="25" t="str">
        <f>IF(AND(L14&gt;=ref!$L$2,L14&lt;=ref!$M$2),ref!$K$2,IF(AND(L14&gt;=ref!$L$3,L14&lt;=ref!$M$3),ref!$K$3,IF(AND(L14&gt;=ref!$L$4,L14&lt;=ref!$M$4),ref!$K$4,IF(AND(L14&gt;=ref!$L$5,L14&lt;=ref!$M$5),ref!$K$5,IF(AND(L14&gt;=ref!$L$6,L14&lt;=ref!$M$6),ref!$K$6,IF(AND(L14&gt;=ref!$L$7,L14&lt;=ref!$M$7),ref!$K$7,IF(AND(L14&gt;=ref!$L$8,L14&lt;=ref!$M$8),ref!$K$8,IF(AND(L14&gt;=ref!$L$9,L14&lt;=ref!$M$9),ref!$K$9,IF(AND(L14&gt;=ref!$L$11,L14&lt;=ref!$M$11),ref!$K$11,IF(AND(L14&gt;=ref!$L$12,L14&lt;=ref!$M$12),ref!$K$12,""))))))))))</f>
        <v/>
      </c>
      <c r="N14" s="22"/>
      <c r="O14" s="16"/>
      <c r="P14" s="22"/>
      <c r="Q14" s="27"/>
      <c r="R14" s="22"/>
      <c r="S14" s="22"/>
      <c r="T14" s="16"/>
      <c r="U14" s="16"/>
      <c r="V14" s="16"/>
      <c r="W14" s="16"/>
      <c r="X14" s="16"/>
      <c r="Y14" s="16"/>
      <c r="Z14" s="16"/>
      <c r="AA14" s="16"/>
      <c r="AB14" s="22"/>
    </row>
    <row r="15" spans="1:28" x14ac:dyDescent="0.3">
      <c r="A15" s="22"/>
      <c r="B15" s="22"/>
      <c r="C15" s="22"/>
      <c r="D15" s="23"/>
      <c r="E15" s="22"/>
      <c r="F15" s="22"/>
      <c r="G15" s="22"/>
      <c r="H15" s="23"/>
      <c r="I15" s="24" t="str">
        <f t="shared" si="0"/>
        <v/>
      </c>
      <c r="J15" s="25" t="str">
        <f t="shared" si="1"/>
        <v/>
      </c>
      <c r="K15" s="22"/>
      <c r="L15" s="26"/>
      <c r="M15" s="25" t="str">
        <f>IF(AND(L15&gt;=ref!$L$2,L15&lt;=ref!$M$2),ref!$K$2,IF(AND(L15&gt;=ref!$L$3,L15&lt;=ref!$M$3),ref!$K$3,IF(AND(L15&gt;=ref!$L$4,L15&lt;=ref!$M$4),ref!$K$4,IF(AND(L15&gt;=ref!$L$5,L15&lt;=ref!$M$5),ref!$K$5,IF(AND(L15&gt;=ref!$L$6,L15&lt;=ref!$M$6),ref!$K$6,IF(AND(L15&gt;=ref!$L$7,L15&lt;=ref!$M$7),ref!$K$7,IF(AND(L15&gt;=ref!$L$8,L15&lt;=ref!$M$8),ref!$K$8,IF(AND(L15&gt;=ref!$L$9,L15&lt;=ref!$M$9),ref!$K$9,IF(AND(L15&gt;=ref!$L$11,L15&lt;=ref!$M$11),ref!$K$11,IF(AND(L15&gt;=ref!$L$12,L15&lt;=ref!$M$12),ref!$K$12,""))))))))))</f>
        <v/>
      </c>
      <c r="N15" s="22"/>
      <c r="O15" s="16"/>
      <c r="P15" s="22"/>
      <c r="Q15" s="27"/>
      <c r="R15" s="22"/>
      <c r="S15" s="22"/>
      <c r="T15" s="16"/>
      <c r="U15" s="16"/>
      <c r="V15" s="16"/>
      <c r="W15" s="16"/>
      <c r="X15" s="16"/>
      <c r="Y15" s="16"/>
      <c r="Z15" s="16"/>
      <c r="AA15" s="16"/>
      <c r="AB15" s="22"/>
    </row>
    <row r="16" spans="1:28" x14ac:dyDescent="0.3">
      <c r="A16" s="22"/>
      <c r="B16" s="22"/>
      <c r="C16" s="22"/>
      <c r="D16" s="23"/>
      <c r="E16" s="22"/>
      <c r="F16" s="22"/>
      <c r="G16" s="22"/>
      <c r="H16" s="23"/>
      <c r="I16" s="24" t="str">
        <f t="shared" si="0"/>
        <v/>
      </c>
      <c r="J16" s="25" t="str">
        <f t="shared" si="1"/>
        <v/>
      </c>
      <c r="K16" s="22"/>
      <c r="L16" s="26"/>
      <c r="M16" s="25" t="str">
        <f>IF(AND(L16&gt;=ref!$L$2,L16&lt;=ref!$M$2),ref!$K$2,IF(AND(L16&gt;=ref!$L$3,L16&lt;=ref!$M$3),ref!$K$3,IF(AND(L16&gt;=ref!$L$4,L16&lt;=ref!$M$4),ref!$K$4,IF(AND(L16&gt;=ref!$L$5,L16&lt;=ref!$M$5),ref!$K$5,IF(AND(L16&gt;=ref!$L$6,L16&lt;=ref!$M$6),ref!$K$6,IF(AND(L16&gt;=ref!$L$7,L16&lt;=ref!$M$7),ref!$K$7,IF(AND(L16&gt;=ref!$L$8,L16&lt;=ref!$M$8),ref!$K$8,IF(AND(L16&gt;=ref!$L$9,L16&lt;=ref!$M$9),ref!$K$9,IF(AND(L16&gt;=ref!$L$11,L16&lt;=ref!$M$11),ref!$K$11,IF(AND(L16&gt;=ref!$L$12,L16&lt;=ref!$M$12),ref!$K$12,""))))))))))</f>
        <v/>
      </c>
      <c r="N16" s="22"/>
      <c r="O16" s="16"/>
      <c r="P16" s="22"/>
      <c r="Q16" s="27"/>
      <c r="R16" s="22"/>
      <c r="S16" s="22"/>
      <c r="T16" s="16"/>
      <c r="U16" s="16"/>
      <c r="V16" s="16"/>
      <c r="W16" s="16"/>
      <c r="X16" s="16"/>
      <c r="Y16" s="16"/>
      <c r="Z16" s="16"/>
      <c r="AA16" s="16"/>
      <c r="AB16" s="22"/>
    </row>
    <row r="17" spans="1:28" x14ac:dyDescent="0.3">
      <c r="A17" s="22"/>
      <c r="B17" s="22"/>
      <c r="C17" s="22"/>
      <c r="D17" s="23"/>
      <c r="E17" s="22"/>
      <c r="F17" s="22"/>
      <c r="G17" s="22"/>
      <c r="H17" s="23"/>
      <c r="I17" s="24" t="str">
        <f t="shared" si="0"/>
        <v/>
      </c>
      <c r="J17" s="25" t="str">
        <f t="shared" si="1"/>
        <v/>
      </c>
      <c r="K17" s="22"/>
      <c r="L17" s="26"/>
      <c r="M17" s="25" t="str">
        <f>IF(AND(L17&gt;=ref!$L$2,L17&lt;=ref!$M$2),ref!$K$2,IF(AND(L17&gt;=ref!$L$3,L17&lt;=ref!$M$3),ref!$K$3,IF(AND(L17&gt;=ref!$L$4,L17&lt;=ref!$M$4),ref!$K$4,IF(AND(L17&gt;=ref!$L$5,L17&lt;=ref!$M$5),ref!$K$5,IF(AND(L17&gt;=ref!$L$6,L17&lt;=ref!$M$6),ref!$K$6,IF(AND(L17&gt;=ref!$L$7,L17&lt;=ref!$M$7),ref!$K$7,IF(AND(L17&gt;=ref!$L$8,L17&lt;=ref!$M$8),ref!$K$8,IF(AND(L17&gt;=ref!$L$9,L17&lt;=ref!$M$9),ref!$K$9,IF(AND(L17&gt;=ref!$L$11,L17&lt;=ref!$M$11),ref!$K$11,IF(AND(L17&gt;=ref!$L$12,L17&lt;=ref!$M$12),ref!$K$12,""))))))))))</f>
        <v/>
      </c>
      <c r="N17" s="22"/>
      <c r="O17" s="16"/>
      <c r="P17" s="22"/>
      <c r="Q17" s="27"/>
      <c r="R17" s="22"/>
      <c r="S17" s="22"/>
      <c r="T17" s="16"/>
      <c r="U17" s="16"/>
      <c r="V17" s="16"/>
      <c r="W17" s="16"/>
      <c r="X17" s="16"/>
      <c r="Y17" s="16"/>
      <c r="Z17" s="16"/>
      <c r="AA17" s="16"/>
      <c r="AB17" s="22"/>
    </row>
    <row r="18" spans="1:28" x14ac:dyDescent="0.3">
      <c r="A18" s="22"/>
      <c r="B18" s="22"/>
      <c r="C18" s="22"/>
      <c r="D18" s="23"/>
      <c r="E18" s="22"/>
      <c r="F18" s="22"/>
      <c r="G18" s="22"/>
      <c r="H18" s="23"/>
      <c r="I18" s="24" t="str">
        <f t="shared" si="0"/>
        <v/>
      </c>
      <c r="J18" s="25" t="str">
        <f t="shared" si="1"/>
        <v/>
      </c>
      <c r="K18" s="22"/>
      <c r="L18" s="26"/>
      <c r="M18" s="25" t="str">
        <f>IF(AND(L18&gt;=ref!$L$2,L18&lt;=ref!$M$2),ref!$K$2,IF(AND(L18&gt;=ref!$L$3,L18&lt;=ref!$M$3),ref!$K$3,IF(AND(L18&gt;=ref!$L$4,L18&lt;=ref!$M$4),ref!$K$4,IF(AND(L18&gt;=ref!$L$5,L18&lt;=ref!$M$5),ref!$K$5,IF(AND(L18&gt;=ref!$L$6,L18&lt;=ref!$M$6),ref!$K$6,IF(AND(L18&gt;=ref!$L$7,L18&lt;=ref!$M$7),ref!$K$7,IF(AND(L18&gt;=ref!$L$8,L18&lt;=ref!$M$8),ref!$K$8,IF(AND(L18&gt;=ref!$L$9,L18&lt;=ref!$M$9),ref!$K$9,IF(AND(L18&gt;=ref!$L$11,L18&lt;=ref!$M$11),ref!$K$11,IF(AND(L18&gt;=ref!$L$12,L18&lt;=ref!$M$12),ref!$K$12,""))))))))))</f>
        <v/>
      </c>
      <c r="N18" s="22"/>
      <c r="O18" s="16"/>
      <c r="P18" s="22"/>
      <c r="Q18" s="27"/>
      <c r="R18" s="22"/>
      <c r="S18" s="22"/>
      <c r="T18" s="16"/>
      <c r="U18" s="16"/>
      <c r="V18" s="16"/>
      <c r="W18" s="16"/>
      <c r="X18" s="16"/>
      <c r="Y18" s="16"/>
      <c r="Z18" s="16"/>
      <c r="AA18" s="16"/>
      <c r="AB18" s="22"/>
    </row>
    <row r="19" spans="1:28" x14ac:dyDescent="0.3">
      <c r="A19" s="22"/>
      <c r="B19" s="22"/>
      <c r="C19" s="22"/>
      <c r="D19" s="23"/>
      <c r="E19" s="22"/>
      <c r="F19" s="22"/>
      <c r="G19" s="22"/>
      <c r="H19" s="23"/>
      <c r="I19" s="24" t="str">
        <f t="shared" si="0"/>
        <v/>
      </c>
      <c r="J19" s="25" t="str">
        <f t="shared" si="1"/>
        <v/>
      </c>
      <c r="K19" s="22"/>
      <c r="L19" s="26"/>
      <c r="M19" s="25" t="str">
        <f>IF(AND(L19&gt;=ref!$L$2,L19&lt;=ref!$M$2),ref!$K$2,IF(AND(L19&gt;=ref!$L$3,L19&lt;=ref!$M$3),ref!$K$3,IF(AND(L19&gt;=ref!$L$4,L19&lt;=ref!$M$4),ref!$K$4,IF(AND(L19&gt;=ref!$L$5,L19&lt;=ref!$M$5),ref!$K$5,IF(AND(L19&gt;=ref!$L$6,L19&lt;=ref!$M$6),ref!$K$6,IF(AND(L19&gt;=ref!$L$7,L19&lt;=ref!$M$7),ref!$K$7,IF(AND(L19&gt;=ref!$L$8,L19&lt;=ref!$M$8),ref!$K$8,IF(AND(L19&gt;=ref!$L$9,L19&lt;=ref!$M$9),ref!$K$9,IF(AND(L19&gt;=ref!$L$11,L19&lt;=ref!$M$11),ref!$K$11,IF(AND(L19&gt;=ref!$L$12,L19&lt;=ref!$M$12),ref!$K$12,""))))))))))</f>
        <v/>
      </c>
      <c r="N19" s="22"/>
      <c r="O19" s="16"/>
      <c r="P19" s="22"/>
      <c r="Q19" s="27"/>
      <c r="R19" s="22"/>
      <c r="S19" s="22"/>
      <c r="T19" s="16"/>
      <c r="U19" s="16"/>
      <c r="V19" s="16"/>
      <c r="W19" s="16"/>
      <c r="X19" s="16"/>
      <c r="Y19" s="16"/>
      <c r="Z19" s="16"/>
      <c r="AA19" s="16"/>
      <c r="AB19" s="22"/>
    </row>
    <row r="20" spans="1:28" x14ac:dyDescent="0.3">
      <c r="A20" s="22"/>
      <c r="B20" s="22"/>
      <c r="C20" s="22"/>
      <c r="D20" s="23"/>
      <c r="E20" s="22"/>
      <c r="F20" s="22"/>
      <c r="G20" s="22"/>
      <c r="H20" s="23"/>
      <c r="I20" s="24" t="str">
        <f t="shared" si="0"/>
        <v/>
      </c>
      <c r="J20" s="25" t="str">
        <f t="shared" si="1"/>
        <v/>
      </c>
      <c r="K20" s="22"/>
      <c r="L20" s="26"/>
      <c r="M20" s="25" t="str">
        <f>IF(AND(L20&gt;=ref!$L$2,L20&lt;=ref!$M$2),ref!$K$2,IF(AND(L20&gt;=ref!$L$3,L20&lt;=ref!$M$3),ref!$K$3,IF(AND(L20&gt;=ref!$L$4,L20&lt;=ref!$M$4),ref!$K$4,IF(AND(L20&gt;=ref!$L$5,L20&lt;=ref!$M$5),ref!$K$5,IF(AND(L20&gt;=ref!$L$6,L20&lt;=ref!$M$6),ref!$K$6,IF(AND(L20&gt;=ref!$L$7,L20&lt;=ref!$M$7),ref!$K$7,IF(AND(L20&gt;=ref!$L$8,L20&lt;=ref!$M$8),ref!$K$8,IF(AND(L20&gt;=ref!$L$9,L20&lt;=ref!$M$9),ref!$K$9,IF(AND(L20&gt;=ref!$L$11,L20&lt;=ref!$M$11),ref!$K$11,IF(AND(L20&gt;=ref!$L$12,L20&lt;=ref!$M$12),ref!$K$12,""))))))))))</f>
        <v/>
      </c>
      <c r="N20" s="22"/>
      <c r="O20" s="16"/>
      <c r="P20" s="22"/>
      <c r="Q20" s="27"/>
      <c r="R20" s="22"/>
      <c r="S20" s="22"/>
      <c r="T20" s="16"/>
      <c r="U20" s="16"/>
      <c r="V20" s="16"/>
      <c r="W20" s="16"/>
      <c r="X20" s="16"/>
      <c r="Y20" s="16"/>
      <c r="Z20" s="16"/>
      <c r="AA20" s="16"/>
      <c r="AB20" s="22"/>
    </row>
    <row r="21" spans="1:28" x14ac:dyDescent="0.3">
      <c r="A21" s="22"/>
      <c r="B21" s="22"/>
      <c r="C21" s="22"/>
      <c r="D21" s="23"/>
      <c r="E21" s="22"/>
      <c r="F21" s="22"/>
      <c r="G21" s="22"/>
      <c r="H21" s="23"/>
      <c r="I21" s="24" t="str">
        <f t="shared" si="0"/>
        <v/>
      </c>
      <c r="J21" s="25" t="str">
        <f t="shared" si="1"/>
        <v/>
      </c>
      <c r="K21" s="22"/>
      <c r="L21" s="26"/>
      <c r="M21" s="25" t="str">
        <f>IF(AND(L21&gt;=ref!$L$2,L21&lt;=ref!$M$2),ref!$K$2,IF(AND(L21&gt;=ref!$L$3,L21&lt;=ref!$M$3),ref!$K$3,IF(AND(L21&gt;=ref!$L$4,L21&lt;=ref!$M$4),ref!$K$4,IF(AND(L21&gt;=ref!$L$5,L21&lt;=ref!$M$5),ref!$K$5,IF(AND(L21&gt;=ref!$L$6,L21&lt;=ref!$M$6),ref!$K$6,IF(AND(L21&gt;=ref!$L$7,L21&lt;=ref!$M$7),ref!$K$7,IF(AND(L21&gt;=ref!$L$8,L21&lt;=ref!$M$8),ref!$K$8,IF(AND(L21&gt;=ref!$L$9,L21&lt;=ref!$M$9),ref!$K$9,IF(AND(L21&gt;=ref!$L$11,L21&lt;=ref!$M$11),ref!$K$11,IF(AND(L21&gt;=ref!$L$12,L21&lt;=ref!$M$12),ref!$K$12,""))))))))))</f>
        <v/>
      </c>
      <c r="N21" s="22"/>
      <c r="O21" s="16"/>
      <c r="P21" s="22"/>
      <c r="Q21" s="27"/>
      <c r="R21" s="22"/>
      <c r="S21" s="22"/>
      <c r="T21" s="16"/>
      <c r="U21" s="16"/>
      <c r="V21" s="16"/>
      <c r="W21" s="16"/>
      <c r="X21" s="16"/>
      <c r="Y21" s="16"/>
      <c r="Z21" s="16"/>
      <c r="AA21" s="16"/>
      <c r="AB21" s="22"/>
    </row>
    <row r="22" spans="1:28" x14ac:dyDescent="0.3">
      <c r="A22" s="22"/>
      <c r="B22" s="22"/>
      <c r="C22" s="22"/>
      <c r="D22" s="23"/>
      <c r="E22" s="22"/>
      <c r="F22" s="22"/>
      <c r="G22" s="22"/>
      <c r="H22" s="23"/>
      <c r="I22" s="24" t="str">
        <f t="shared" si="0"/>
        <v/>
      </c>
      <c r="J22" s="25" t="str">
        <f t="shared" si="1"/>
        <v/>
      </c>
      <c r="K22" s="22"/>
      <c r="L22" s="26"/>
      <c r="M22" s="25" t="str">
        <f>IF(AND(L22&gt;=ref!$L$2,L22&lt;=ref!$M$2),ref!$K$2,IF(AND(L22&gt;=ref!$L$3,L22&lt;=ref!$M$3),ref!$K$3,IF(AND(L22&gt;=ref!$L$4,L22&lt;=ref!$M$4),ref!$K$4,IF(AND(L22&gt;=ref!$L$5,L22&lt;=ref!$M$5),ref!$K$5,IF(AND(L22&gt;=ref!$L$6,L22&lt;=ref!$M$6),ref!$K$6,IF(AND(L22&gt;=ref!$L$7,L22&lt;=ref!$M$7),ref!$K$7,IF(AND(L22&gt;=ref!$L$8,L22&lt;=ref!$M$8),ref!$K$8,IF(AND(L22&gt;=ref!$L$9,L22&lt;=ref!$M$9),ref!$K$9,IF(AND(L22&gt;=ref!$L$11,L22&lt;=ref!$M$11),ref!$K$11,IF(AND(L22&gt;=ref!$L$12,L22&lt;=ref!$M$12),ref!$K$12,""))))))))))</f>
        <v/>
      </c>
      <c r="N22" s="22"/>
      <c r="O22" s="16"/>
      <c r="P22" s="22"/>
      <c r="Q22" s="27"/>
      <c r="R22" s="22"/>
      <c r="S22" s="22"/>
      <c r="T22" s="16"/>
      <c r="U22" s="16"/>
      <c r="V22" s="16"/>
      <c r="W22" s="16"/>
      <c r="X22" s="16"/>
      <c r="Y22" s="16"/>
      <c r="Z22" s="16"/>
      <c r="AA22" s="16"/>
      <c r="AB22" s="22"/>
    </row>
    <row r="23" spans="1:28" x14ac:dyDescent="0.3">
      <c r="A23" s="22"/>
      <c r="B23" s="22"/>
      <c r="C23" s="22"/>
      <c r="D23" s="22"/>
      <c r="E23" s="22"/>
      <c r="F23" s="22"/>
      <c r="G23" s="22"/>
      <c r="H23" s="22"/>
      <c r="I23" s="24" t="str">
        <f t="shared" si="0"/>
        <v/>
      </c>
      <c r="J23" s="25" t="str">
        <f t="shared" si="1"/>
        <v/>
      </c>
      <c r="K23" s="22"/>
      <c r="L23" s="22"/>
      <c r="M23" s="25" t="str">
        <f>IF(AND(L23&gt;=ref!$L$2,L23&lt;=ref!$M$2),ref!$K$2,IF(AND(L23&gt;=ref!$L$3,L23&lt;=ref!$M$3),ref!$K$3,IF(AND(L23&gt;=ref!$L$4,L23&lt;=ref!$M$4),ref!$K$4,IF(AND(L23&gt;=ref!$L$5,L23&lt;=ref!$M$5),ref!$K$5,IF(AND(L23&gt;=ref!$L$6,L23&lt;=ref!$M$6),ref!$K$6,IF(AND(L23&gt;=ref!$L$7,L23&lt;=ref!$M$7),ref!$K$7,IF(AND(L23&gt;=ref!$L$8,L23&lt;=ref!$M$8),ref!$K$8,IF(AND(L23&gt;=ref!$L$9,L23&lt;=ref!$M$9),ref!$K$9,IF(AND(L23&gt;=ref!$L$11,L23&lt;=ref!$M$11),ref!$K$11,IF(AND(L23&gt;=ref!$L$12,L23&lt;=ref!$M$12),ref!$K$12,""))))))))))</f>
        <v/>
      </c>
      <c r="N23" s="22"/>
      <c r="O23" s="16"/>
      <c r="P23" s="22"/>
      <c r="Q23" s="27"/>
      <c r="R23" s="22"/>
      <c r="S23" s="22"/>
      <c r="T23" s="16"/>
      <c r="U23" s="16"/>
      <c r="V23" s="16"/>
      <c r="W23" s="16"/>
      <c r="X23" s="16"/>
      <c r="Y23" s="16"/>
      <c r="Z23" s="16"/>
      <c r="AA23" s="16"/>
      <c r="AB23" s="22"/>
    </row>
    <row r="24" spans="1:28" x14ac:dyDescent="0.3">
      <c r="A24" s="22"/>
      <c r="B24" s="22"/>
      <c r="C24" s="22"/>
      <c r="D24" s="22"/>
      <c r="E24" s="22"/>
      <c r="F24" s="22"/>
      <c r="G24" s="22"/>
      <c r="H24" s="22"/>
      <c r="I24" s="24" t="str">
        <f t="shared" si="0"/>
        <v/>
      </c>
      <c r="J24" s="25" t="str">
        <f t="shared" si="1"/>
        <v/>
      </c>
      <c r="K24" s="22"/>
      <c r="L24" s="22"/>
      <c r="M24" s="25" t="str">
        <f>IF(AND(L24&gt;=ref!$L$2,L24&lt;=ref!$M$2),ref!$K$2,IF(AND(L24&gt;=ref!$L$3,L24&lt;=ref!$M$3),ref!$K$3,IF(AND(L24&gt;=ref!$L$4,L24&lt;=ref!$M$4),ref!$K$4,IF(AND(L24&gt;=ref!$L$5,L24&lt;=ref!$M$5),ref!$K$5,IF(AND(L24&gt;=ref!$L$6,L24&lt;=ref!$M$6),ref!$K$6,IF(AND(L24&gt;=ref!$L$7,L24&lt;=ref!$M$7),ref!$K$7,IF(AND(L24&gt;=ref!$L$8,L24&lt;=ref!$M$8),ref!$K$8,IF(AND(L24&gt;=ref!$L$9,L24&lt;=ref!$M$9),ref!$K$9,IF(AND(L24&gt;=ref!$L$11,L24&lt;=ref!$M$11),ref!$K$11,IF(AND(L24&gt;=ref!$L$12,L24&lt;=ref!$M$12),ref!$K$12,""))))))))))</f>
        <v/>
      </c>
      <c r="N24" s="22"/>
      <c r="O24" s="16"/>
      <c r="P24" s="22"/>
      <c r="Q24" s="27"/>
      <c r="R24" s="22"/>
      <c r="S24" s="22"/>
      <c r="T24" s="16"/>
      <c r="U24" s="16"/>
      <c r="V24" s="16"/>
      <c r="W24" s="16"/>
      <c r="X24" s="16"/>
      <c r="Y24" s="16"/>
      <c r="Z24" s="16"/>
      <c r="AA24" s="16"/>
      <c r="AB24" s="22"/>
    </row>
    <row r="25" spans="1:28" x14ac:dyDescent="0.3">
      <c r="A25" s="22"/>
      <c r="B25" s="22"/>
      <c r="C25" s="22"/>
      <c r="D25" s="22"/>
      <c r="E25" s="22"/>
      <c r="F25" s="22"/>
      <c r="G25" s="22"/>
      <c r="H25" s="22"/>
      <c r="I25" s="24" t="str">
        <f t="shared" si="0"/>
        <v/>
      </c>
      <c r="J25" s="25" t="str">
        <f t="shared" si="1"/>
        <v/>
      </c>
      <c r="K25" s="22"/>
      <c r="L25" s="22"/>
      <c r="M25" s="25" t="str">
        <f>IF(AND(L25&gt;=ref!$L$2,L25&lt;=ref!$M$2),ref!$K$2,IF(AND(L25&gt;=ref!$L$3,L25&lt;=ref!$M$3),ref!$K$3,IF(AND(L25&gt;=ref!$L$4,L25&lt;=ref!$M$4),ref!$K$4,IF(AND(L25&gt;=ref!$L$5,L25&lt;=ref!$M$5),ref!$K$5,IF(AND(L25&gt;=ref!$L$6,L25&lt;=ref!$M$6),ref!$K$6,IF(AND(L25&gt;=ref!$L$7,L25&lt;=ref!$M$7),ref!$K$7,IF(AND(L25&gt;=ref!$L$8,L25&lt;=ref!$M$8),ref!$K$8,IF(AND(L25&gt;=ref!$L$9,L25&lt;=ref!$M$9),ref!$K$9,IF(AND(L25&gt;=ref!$L$11,L25&lt;=ref!$M$11),ref!$K$11,IF(AND(L25&gt;=ref!$L$12,L25&lt;=ref!$M$12),ref!$K$12,""))))))))))</f>
        <v/>
      </c>
      <c r="N25" s="22"/>
      <c r="O25" s="16"/>
      <c r="P25" s="22"/>
      <c r="Q25" s="27"/>
      <c r="R25" s="22"/>
      <c r="S25" s="22"/>
      <c r="T25" s="16"/>
      <c r="U25" s="16"/>
      <c r="V25" s="16"/>
      <c r="W25" s="16"/>
      <c r="X25" s="16"/>
      <c r="Y25" s="16"/>
      <c r="Z25" s="16"/>
      <c r="AA25" s="16"/>
      <c r="AB25" s="22"/>
    </row>
    <row r="26" spans="1:28" x14ac:dyDescent="0.3">
      <c r="A26" s="22"/>
      <c r="B26" s="22"/>
      <c r="C26" s="22"/>
      <c r="D26" s="22"/>
      <c r="E26" s="22"/>
      <c r="F26" s="22"/>
      <c r="G26" s="22"/>
      <c r="H26" s="22"/>
      <c r="I26" s="24" t="str">
        <f t="shared" si="0"/>
        <v/>
      </c>
      <c r="J26" s="25" t="str">
        <f t="shared" si="1"/>
        <v/>
      </c>
      <c r="K26" s="22"/>
      <c r="L26" s="22"/>
      <c r="M26" s="25" t="str">
        <f>IF(AND(L26&gt;=ref!$L$2,L26&lt;=ref!$M$2),ref!$K$2,IF(AND(L26&gt;=ref!$L$3,L26&lt;=ref!$M$3),ref!$K$3,IF(AND(L26&gt;=ref!$L$4,L26&lt;=ref!$M$4),ref!$K$4,IF(AND(L26&gt;=ref!$L$5,L26&lt;=ref!$M$5),ref!$K$5,IF(AND(L26&gt;=ref!$L$6,L26&lt;=ref!$M$6),ref!$K$6,IF(AND(L26&gt;=ref!$L$7,L26&lt;=ref!$M$7),ref!$K$7,IF(AND(L26&gt;=ref!$L$8,L26&lt;=ref!$M$8),ref!$K$8,IF(AND(L26&gt;=ref!$L$9,L26&lt;=ref!$M$9),ref!$K$9,IF(AND(L26&gt;=ref!$L$11,L26&lt;=ref!$M$11),ref!$K$11,IF(AND(L26&gt;=ref!$L$12,L26&lt;=ref!$M$12),ref!$K$12,""))))))))))</f>
        <v/>
      </c>
      <c r="N26" s="22"/>
      <c r="O26" s="16"/>
      <c r="P26" s="22"/>
      <c r="Q26" s="27"/>
      <c r="R26" s="22"/>
      <c r="S26" s="22"/>
      <c r="T26" s="16"/>
      <c r="U26" s="16"/>
      <c r="V26" s="16"/>
      <c r="W26" s="16"/>
      <c r="X26" s="16"/>
      <c r="Y26" s="16"/>
      <c r="Z26" s="16"/>
      <c r="AA26" s="16"/>
      <c r="AB26" s="22"/>
    </row>
    <row r="27" spans="1:28" x14ac:dyDescent="0.3">
      <c r="A27" s="22"/>
      <c r="B27" s="22"/>
      <c r="C27" s="22"/>
      <c r="D27" s="22"/>
      <c r="E27" s="22"/>
      <c r="F27" s="22"/>
      <c r="G27" s="22"/>
      <c r="H27" s="22"/>
      <c r="I27" s="24" t="str">
        <f t="shared" si="0"/>
        <v/>
      </c>
      <c r="J27" s="25" t="str">
        <f t="shared" si="1"/>
        <v/>
      </c>
      <c r="K27" s="22"/>
      <c r="L27" s="22"/>
      <c r="M27" s="25" t="str">
        <f>IF(AND(L27&gt;=ref!$L$2,L27&lt;=ref!$M$2),ref!$K$2,IF(AND(L27&gt;=ref!$L$3,L27&lt;=ref!$M$3),ref!$K$3,IF(AND(L27&gt;=ref!$L$4,L27&lt;=ref!$M$4),ref!$K$4,IF(AND(L27&gt;=ref!$L$5,L27&lt;=ref!$M$5),ref!$K$5,IF(AND(L27&gt;=ref!$L$6,L27&lt;=ref!$M$6),ref!$K$6,IF(AND(L27&gt;=ref!$L$7,L27&lt;=ref!$M$7),ref!$K$7,IF(AND(L27&gt;=ref!$L$8,L27&lt;=ref!$M$8),ref!$K$8,IF(AND(L27&gt;=ref!$L$9,L27&lt;=ref!$M$9),ref!$K$9,IF(AND(L27&gt;=ref!$L$11,L27&lt;=ref!$M$11),ref!$K$11,IF(AND(L27&gt;=ref!$L$12,L27&lt;=ref!$M$12),ref!$K$12,""))))))))))</f>
        <v/>
      </c>
      <c r="N27" s="22"/>
      <c r="O27" s="16"/>
      <c r="P27" s="22"/>
      <c r="Q27" s="27"/>
      <c r="R27" s="22"/>
      <c r="S27" s="22"/>
      <c r="T27" s="16"/>
      <c r="U27" s="16"/>
      <c r="V27" s="16"/>
      <c r="W27" s="16"/>
      <c r="X27" s="16"/>
      <c r="Y27" s="16"/>
      <c r="Z27" s="16"/>
      <c r="AA27" s="16"/>
      <c r="AB27" s="22"/>
    </row>
    <row r="28" spans="1:28" x14ac:dyDescent="0.3">
      <c r="A28" s="22"/>
      <c r="B28" s="22"/>
      <c r="C28" s="22"/>
      <c r="D28" s="22"/>
      <c r="E28" s="22"/>
      <c r="F28" s="22"/>
      <c r="G28" s="22"/>
      <c r="H28" s="22"/>
      <c r="I28" s="24" t="str">
        <f t="shared" si="0"/>
        <v/>
      </c>
      <c r="J28" s="25" t="str">
        <f t="shared" si="1"/>
        <v/>
      </c>
      <c r="K28" s="22"/>
      <c r="L28" s="22"/>
      <c r="M28" s="25" t="str">
        <f>IF(AND(L28&gt;=ref!$L$2,L28&lt;=ref!$M$2),ref!$K$2,IF(AND(L28&gt;=ref!$L$3,L28&lt;=ref!$M$3),ref!$K$3,IF(AND(L28&gt;=ref!$L$4,L28&lt;=ref!$M$4),ref!$K$4,IF(AND(L28&gt;=ref!$L$5,L28&lt;=ref!$M$5),ref!$K$5,IF(AND(L28&gt;=ref!$L$6,L28&lt;=ref!$M$6),ref!$K$6,IF(AND(L28&gt;=ref!$L$7,L28&lt;=ref!$M$7),ref!$K$7,IF(AND(L28&gt;=ref!$L$8,L28&lt;=ref!$M$8),ref!$K$8,IF(AND(L28&gt;=ref!$L$9,L28&lt;=ref!$M$9),ref!$K$9,IF(AND(L28&gt;=ref!$L$11,L28&lt;=ref!$M$11),ref!$K$11,IF(AND(L28&gt;=ref!$L$12,L28&lt;=ref!$M$12),ref!$K$12,""))))))))))</f>
        <v/>
      </c>
      <c r="N28" s="22"/>
      <c r="O28" s="16"/>
      <c r="P28" s="22"/>
      <c r="Q28" s="27"/>
      <c r="R28" s="22"/>
      <c r="S28" s="22"/>
      <c r="T28" s="16"/>
      <c r="U28" s="16"/>
      <c r="V28" s="16"/>
      <c r="W28" s="16"/>
      <c r="X28" s="16"/>
      <c r="Y28" s="16"/>
      <c r="Z28" s="16"/>
      <c r="AA28" s="16"/>
      <c r="AB28" s="22"/>
    </row>
    <row r="29" spans="1:28" x14ac:dyDescent="0.3">
      <c r="A29" s="22"/>
      <c r="B29" s="22"/>
      <c r="C29" s="22"/>
      <c r="D29" s="22"/>
      <c r="E29" s="22"/>
      <c r="F29" s="22"/>
      <c r="G29" s="22"/>
      <c r="H29" s="22"/>
      <c r="I29" s="24" t="str">
        <f t="shared" si="0"/>
        <v/>
      </c>
      <c r="J29" s="25" t="str">
        <f t="shared" si="1"/>
        <v/>
      </c>
      <c r="K29" s="22"/>
      <c r="L29" s="22"/>
      <c r="M29" s="25" t="str">
        <f>IF(AND(L29&gt;=ref!$L$2,L29&lt;=ref!$M$2),ref!$K$2,IF(AND(L29&gt;=ref!$L$3,L29&lt;=ref!$M$3),ref!$K$3,IF(AND(L29&gt;=ref!$L$4,L29&lt;=ref!$M$4),ref!$K$4,IF(AND(L29&gt;=ref!$L$5,L29&lt;=ref!$M$5),ref!$K$5,IF(AND(L29&gt;=ref!$L$6,L29&lt;=ref!$M$6),ref!$K$6,IF(AND(L29&gt;=ref!$L$7,L29&lt;=ref!$M$7),ref!$K$7,IF(AND(L29&gt;=ref!$L$8,L29&lt;=ref!$M$8),ref!$K$8,IF(AND(L29&gt;=ref!$L$9,L29&lt;=ref!$M$9),ref!$K$9,IF(AND(L29&gt;=ref!$L$11,L29&lt;=ref!$M$11),ref!$K$11,IF(AND(L29&gt;=ref!$L$12,L29&lt;=ref!$M$12),ref!$K$12,""))))))))))</f>
        <v/>
      </c>
      <c r="N29" s="22"/>
      <c r="O29" s="16"/>
      <c r="P29" s="22"/>
      <c r="Q29" s="27"/>
      <c r="R29" s="22"/>
      <c r="S29" s="22"/>
      <c r="T29" s="16"/>
      <c r="U29" s="16"/>
      <c r="V29" s="16"/>
      <c r="W29" s="16"/>
      <c r="X29" s="16"/>
      <c r="Y29" s="16"/>
      <c r="Z29" s="16"/>
      <c r="AA29" s="16"/>
      <c r="AB29" s="22"/>
    </row>
    <row r="30" spans="1:28" x14ac:dyDescent="0.3">
      <c r="A30" s="22"/>
      <c r="B30" s="22"/>
      <c r="C30" s="22"/>
      <c r="D30" s="22"/>
      <c r="E30" s="22"/>
      <c r="F30" s="22"/>
      <c r="G30" s="22"/>
      <c r="H30" s="22"/>
      <c r="I30" s="24" t="str">
        <f t="shared" si="0"/>
        <v/>
      </c>
      <c r="J30" s="25" t="str">
        <f t="shared" si="1"/>
        <v/>
      </c>
      <c r="K30" s="22"/>
      <c r="L30" s="22"/>
      <c r="M30" s="25" t="str">
        <f>IF(AND(L30&gt;=ref!$L$2,L30&lt;=ref!$M$2),ref!$K$2,IF(AND(L30&gt;=ref!$L$3,L30&lt;=ref!$M$3),ref!$K$3,IF(AND(L30&gt;=ref!$L$4,L30&lt;=ref!$M$4),ref!$K$4,IF(AND(L30&gt;=ref!$L$5,L30&lt;=ref!$M$5),ref!$K$5,IF(AND(L30&gt;=ref!$L$6,L30&lt;=ref!$M$6),ref!$K$6,IF(AND(L30&gt;=ref!$L$7,L30&lt;=ref!$M$7),ref!$K$7,IF(AND(L30&gt;=ref!$L$8,L30&lt;=ref!$M$8),ref!$K$8,IF(AND(L30&gt;=ref!$L$9,L30&lt;=ref!$M$9),ref!$K$9,IF(AND(L30&gt;=ref!$L$11,L30&lt;=ref!$M$11),ref!$K$11,IF(AND(L30&gt;=ref!$L$12,L30&lt;=ref!$M$12),ref!$K$12,""))))))))))</f>
        <v/>
      </c>
      <c r="N30" s="22"/>
      <c r="O30" s="16"/>
      <c r="P30" s="22"/>
      <c r="Q30" s="27"/>
      <c r="R30" s="22"/>
      <c r="S30" s="22"/>
      <c r="T30" s="16"/>
      <c r="U30" s="16"/>
      <c r="V30" s="16"/>
      <c r="W30" s="16"/>
      <c r="X30" s="16"/>
      <c r="Y30" s="16"/>
      <c r="Z30" s="16"/>
      <c r="AA30" s="16"/>
      <c r="AB30" s="22"/>
    </row>
    <row r="31" spans="1:28" x14ac:dyDescent="0.3">
      <c r="A31" s="22"/>
      <c r="B31" s="22"/>
      <c r="C31" s="22"/>
      <c r="D31" s="22"/>
      <c r="E31" s="22"/>
      <c r="F31" s="22"/>
      <c r="G31" s="22"/>
      <c r="H31" s="22"/>
      <c r="I31" s="24" t="str">
        <f t="shared" si="0"/>
        <v/>
      </c>
      <c r="J31" s="25" t="str">
        <f t="shared" si="1"/>
        <v/>
      </c>
      <c r="K31" s="22"/>
      <c r="L31" s="22"/>
      <c r="M31" s="25" t="str">
        <f>IF(AND(L31&gt;=ref!$L$2,L31&lt;=ref!$M$2),ref!$K$2,IF(AND(L31&gt;=ref!$L$3,L31&lt;=ref!$M$3),ref!$K$3,IF(AND(L31&gt;=ref!$L$4,L31&lt;=ref!$M$4),ref!$K$4,IF(AND(L31&gt;=ref!$L$5,L31&lt;=ref!$M$5),ref!$K$5,IF(AND(L31&gt;=ref!$L$6,L31&lt;=ref!$M$6),ref!$K$6,IF(AND(L31&gt;=ref!$L$7,L31&lt;=ref!$M$7),ref!$K$7,IF(AND(L31&gt;=ref!$L$8,L31&lt;=ref!$M$8),ref!$K$8,IF(AND(L31&gt;=ref!$L$9,L31&lt;=ref!$M$9),ref!$K$9,IF(AND(L31&gt;=ref!$L$11,L31&lt;=ref!$M$11),ref!$K$11,IF(AND(L31&gt;=ref!$L$12,L31&lt;=ref!$M$12),ref!$K$12,""))))))))))</f>
        <v/>
      </c>
      <c r="N31" s="22"/>
      <c r="O31" s="16"/>
      <c r="P31" s="22"/>
      <c r="Q31" s="27"/>
      <c r="R31" s="22"/>
      <c r="S31" s="22"/>
      <c r="T31" s="16"/>
      <c r="U31" s="16"/>
      <c r="V31" s="16"/>
      <c r="W31" s="16"/>
      <c r="X31" s="16"/>
      <c r="Y31" s="16"/>
      <c r="Z31" s="16"/>
      <c r="AA31" s="16"/>
      <c r="AB31" s="22"/>
    </row>
    <row r="32" spans="1:28" x14ac:dyDescent="0.3">
      <c r="A32" s="22"/>
      <c r="B32" s="22"/>
      <c r="C32" s="22"/>
      <c r="D32" s="22"/>
      <c r="E32" s="22"/>
      <c r="F32" s="22"/>
      <c r="G32" s="22"/>
      <c r="H32" s="22"/>
      <c r="I32" s="24" t="str">
        <f t="shared" si="0"/>
        <v/>
      </c>
      <c r="J32" s="25" t="str">
        <f t="shared" si="1"/>
        <v/>
      </c>
      <c r="K32" s="22"/>
      <c r="L32" s="22"/>
      <c r="M32" s="25" t="str">
        <f>IF(AND(L32&gt;=ref!$L$2,L32&lt;=ref!$M$2),ref!$K$2,IF(AND(L32&gt;=ref!$L$3,L32&lt;=ref!$M$3),ref!$K$3,IF(AND(L32&gt;=ref!$L$4,L32&lt;=ref!$M$4),ref!$K$4,IF(AND(L32&gt;=ref!$L$5,L32&lt;=ref!$M$5),ref!$K$5,IF(AND(L32&gt;=ref!$L$6,L32&lt;=ref!$M$6),ref!$K$6,IF(AND(L32&gt;=ref!$L$7,L32&lt;=ref!$M$7),ref!$K$7,IF(AND(L32&gt;=ref!$L$8,L32&lt;=ref!$M$8),ref!$K$8,IF(AND(L32&gt;=ref!$L$9,L32&lt;=ref!$M$9),ref!$K$9,IF(AND(L32&gt;=ref!$L$11,L32&lt;=ref!$M$11),ref!$K$11,IF(AND(L32&gt;=ref!$L$12,L32&lt;=ref!$M$12),ref!$K$12,""))))))))))</f>
        <v/>
      </c>
      <c r="N32" s="22"/>
      <c r="O32" s="16"/>
      <c r="P32" s="22"/>
      <c r="Q32" s="27"/>
      <c r="R32" s="22"/>
      <c r="S32" s="22"/>
      <c r="T32" s="16"/>
      <c r="U32" s="16"/>
      <c r="V32" s="16"/>
      <c r="W32" s="16"/>
      <c r="X32" s="16"/>
      <c r="Y32" s="16"/>
      <c r="Z32" s="16"/>
      <c r="AA32" s="16"/>
      <c r="AB32" s="22"/>
    </row>
    <row r="33" spans="1:28" x14ac:dyDescent="0.3">
      <c r="A33" s="22"/>
      <c r="B33" s="22"/>
      <c r="C33" s="22"/>
      <c r="D33" s="22"/>
      <c r="E33" s="22"/>
      <c r="F33" s="22"/>
      <c r="G33" s="22"/>
      <c r="H33" s="22"/>
      <c r="I33" s="24" t="str">
        <f t="shared" si="0"/>
        <v/>
      </c>
      <c r="J33" s="25" t="str">
        <f t="shared" si="1"/>
        <v/>
      </c>
      <c r="K33" s="22"/>
      <c r="L33" s="22"/>
      <c r="M33" s="25" t="str">
        <f>IF(AND(L33&gt;=ref!$L$2,L33&lt;=ref!$M$2),ref!$K$2,IF(AND(L33&gt;=ref!$L$3,L33&lt;=ref!$M$3),ref!$K$3,IF(AND(L33&gt;=ref!$L$4,L33&lt;=ref!$M$4),ref!$K$4,IF(AND(L33&gt;=ref!$L$5,L33&lt;=ref!$M$5),ref!$K$5,IF(AND(L33&gt;=ref!$L$6,L33&lt;=ref!$M$6),ref!$K$6,IF(AND(L33&gt;=ref!$L$7,L33&lt;=ref!$M$7),ref!$K$7,IF(AND(L33&gt;=ref!$L$8,L33&lt;=ref!$M$8),ref!$K$8,IF(AND(L33&gt;=ref!$L$9,L33&lt;=ref!$M$9),ref!$K$9,IF(AND(L33&gt;=ref!$L$11,L33&lt;=ref!$M$11),ref!$K$11,IF(AND(L33&gt;=ref!$L$12,L33&lt;=ref!$M$12),ref!$K$12,""))))))))))</f>
        <v/>
      </c>
      <c r="N33" s="22"/>
      <c r="O33" s="16"/>
      <c r="P33" s="22"/>
      <c r="Q33" s="27"/>
      <c r="R33" s="22"/>
      <c r="S33" s="22"/>
      <c r="T33" s="16"/>
      <c r="U33" s="16"/>
      <c r="V33" s="16"/>
      <c r="W33" s="16"/>
      <c r="X33" s="16"/>
      <c r="Y33" s="16"/>
      <c r="Z33" s="16"/>
      <c r="AA33" s="16"/>
      <c r="AB33" s="22"/>
    </row>
    <row r="34" spans="1:28" x14ac:dyDescent="0.3">
      <c r="A34" s="22"/>
      <c r="B34" s="22"/>
      <c r="C34" s="22"/>
      <c r="D34" s="22"/>
      <c r="E34" s="22"/>
      <c r="F34" s="22"/>
      <c r="G34" s="22"/>
      <c r="H34" s="22"/>
      <c r="I34" s="24" t="str">
        <f t="shared" si="0"/>
        <v/>
      </c>
      <c r="J34" s="25" t="str">
        <f t="shared" si="1"/>
        <v/>
      </c>
      <c r="K34" s="22"/>
      <c r="L34" s="22"/>
      <c r="M34" s="25" t="str">
        <f>IF(AND(L34&gt;=ref!$L$2,L34&lt;=ref!$M$2),ref!$K$2,IF(AND(L34&gt;=ref!$L$3,L34&lt;=ref!$M$3),ref!$K$3,IF(AND(L34&gt;=ref!$L$4,L34&lt;=ref!$M$4),ref!$K$4,IF(AND(L34&gt;=ref!$L$5,L34&lt;=ref!$M$5),ref!$K$5,IF(AND(L34&gt;=ref!$L$6,L34&lt;=ref!$M$6),ref!$K$6,IF(AND(L34&gt;=ref!$L$7,L34&lt;=ref!$M$7),ref!$K$7,IF(AND(L34&gt;=ref!$L$8,L34&lt;=ref!$M$8),ref!$K$8,IF(AND(L34&gt;=ref!$L$9,L34&lt;=ref!$M$9),ref!$K$9,IF(AND(L34&gt;=ref!$L$11,L34&lt;=ref!$M$11),ref!$K$11,IF(AND(L34&gt;=ref!$L$12,L34&lt;=ref!$M$12),ref!$K$12,""))))))))))</f>
        <v/>
      </c>
      <c r="N34" s="22"/>
      <c r="O34" s="16"/>
      <c r="P34" s="22"/>
      <c r="Q34" s="27"/>
      <c r="R34" s="22"/>
      <c r="S34" s="22"/>
      <c r="T34" s="16"/>
      <c r="U34" s="16"/>
      <c r="V34" s="16"/>
      <c r="W34" s="16"/>
      <c r="X34" s="16"/>
      <c r="Y34" s="16"/>
      <c r="Z34" s="16"/>
      <c r="AA34" s="16"/>
      <c r="AB34" s="22"/>
    </row>
    <row r="35" spans="1:28" x14ac:dyDescent="0.3">
      <c r="A35" s="22"/>
      <c r="B35" s="22"/>
      <c r="C35" s="22"/>
      <c r="D35" s="22"/>
      <c r="E35" s="22"/>
      <c r="F35" s="22"/>
      <c r="G35" s="22"/>
      <c r="H35" s="22"/>
      <c r="I35" s="24" t="str">
        <f t="shared" si="0"/>
        <v/>
      </c>
      <c r="J35" s="25" t="str">
        <f t="shared" si="1"/>
        <v/>
      </c>
      <c r="K35" s="22"/>
      <c r="L35" s="22"/>
      <c r="M35" s="25" t="str">
        <f>IF(AND(L35&gt;=ref!$L$2,L35&lt;=ref!$M$2),ref!$K$2,IF(AND(L35&gt;=ref!$L$3,L35&lt;=ref!$M$3),ref!$K$3,IF(AND(L35&gt;=ref!$L$4,L35&lt;=ref!$M$4),ref!$K$4,IF(AND(L35&gt;=ref!$L$5,L35&lt;=ref!$M$5),ref!$K$5,IF(AND(L35&gt;=ref!$L$6,L35&lt;=ref!$M$6),ref!$K$6,IF(AND(L35&gt;=ref!$L$7,L35&lt;=ref!$M$7),ref!$K$7,IF(AND(L35&gt;=ref!$L$8,L35&lt;=ref!$M$8),ref!$K$8,IF(AND(L35&gt;=ref!$L$9,L35&lt;=ref!$M$9),ref!$K$9,IF(AND(L35&gt;=ref!$L$11,L35&lt;=ref!$M$11),ref!$K$11,IF(AND(L35&gt;=ref!$L$12,L35&lt;=ref!$M$12),ref!$K$12,""))))))))))</f>
        <v/>
      </c>
      <c r="N35" s="22"/>
      <c r="O35" s="16"/>
      <c r="P35" s="22"/>
      <c r="Q35" s="27"/>
      <c r="R35" s="22"/>
      <c r="S35" s="22"/>
      <c r="T35" s="16"/>
      <c r="U35" s="16"/>
      <c r="V35" s="16"/>
      <c r="W35" s="16"/>
      <c r="X35" s="16"/>
      <c r="Y35" s="16"/>
      <c r="Z35" s="16"/>
      <c r="AA35" s="16"/>
      <c r="AB35" s="22"/>
    </row>
    <row r="36" spans="1:28" x14ac:dyDescent="0.3">
      <c r="A36" s="22"/>
      <c r="B36" s="22"/>
      <c r="C36" s="22"/>
      <c r="D36" s="22"/>
      <c r="E36" s="22"/>
      <c r="F36" s="22"/>
      <c r="G36" s="22"/>
      <c r="H36" s="22"/>
      <c r="I36" s="24" t="str">
        <f t="shared" si="0"/>
        <v/>
      </c>
      <c r="J36" s="25" t="str">
        <f t="shared" si="1"/>
        <v/>
      </c>
      <c r="K36" s="22"/>
      <c r="L36" s="22"/>
      <c r="M36" s="25" t="str">
        <f>IF(AND(L36&gt;=ref!$L$2,L36&lt;=ref!$M$2),ref!$K$2,IF(AND(L36&gt;=ref!$L$3,L36&lt;=ref!$M$3),ref!$K$3,IF(AND(L36&gt;=ref!$L$4,L36&lt;=ref!$M$4),ref!$K$4,IF(AND(L36&gt;=ref!$L$5,L36&lt;=ref!$M$5),ref!$K$5,IF(AND(L36&gt;=ref!$L$6,L36&lt;=ref!$M$6),ref!$K$6,IF(AND(L36&gt;=ref!$L$7,L36&lt;=ref!$M$7),ref!$K$7,IF(AND(L36&gt;=ref!$L$8,L36&lt;=ref!$M$8),ref!$K$8,IF(AND(L36&gt;=ref!$L$9,L36&lt;=ref!$M$9),ref!$K$9,IF(AND(L36&gt;=ref!$L$11,L36&lt;=ref!$M$11),ref!$K$11,IF(AND(L36&gt;=ref!$L$12,L36&lt;=ref!$M$12),ref!$K$12,""))))))))))</f>
        <v/>
      </c>
      <c r="N36" s="22"/>
      <c r="O36" s="16"/>
      <c r="P36" s="22"/>
      <c r="Q36" s="27"/>
      <c r="R36" s="22"/>
      <c r="S36" s="22"/>
      <c r="T36" s="16"/>
      <c r="U36" s="16"/>
      <c r="V36" s="16"/>
      <c r="W36" s="16"/>
      <c r="X36" s="16"/>
      <c r="Y36" s="16"/>
      <c r="Z36" s="16"/>
      <c r="AA36" s="16"/>
      <c r="AB36" s="22"/>
    </row>
    <row r="37" spans="1:28" x14ac:dyDescent="0.3">
      <c r="A37" s="22"/>
      <c r="B37" s="22"/>
      <c r="C37" s="22"/>
      <c r="D37" s="22"/>
      <c r="E37" s="22"/>
      <c r="F37" s="22"/>
      <c r="G37" s="22"/>
      <c r="H37" s="22"/>
      <c r="I37" s="24" t="str">
        <f t="shared" si="0"/>
        <v/>
      </c>
      <c r="J37" s="25" t="str">
        <f t="shared" si="1"/>
        <v/>
      </c>
      <c r="K37" s="22"/>
      <c r="L37" s="22"/>
      <c r="M37" s="25" t="str">
        <f>IF(AND(L37&gt;=ref!$L$2,L37&lt;=ref!$M$2),ref!$K$2,IF(AND(L37&gt;=ref!$L$3,L37&lt;=ref!$M$3),ref!$K$3,IF(AND(L37&gt;=ref!$L$4,L37&lt;=ref!$M$4),ref!$K$4,IF(AND(L37&gt;=ref!$L$5,L37&lt;=ref!$M$5),ref!$K$5,IF(AND(L37&gt;=ref!$L$6,L37&lt;=ref!$M$6),ref!$K$6,IF(AND(L37&gt;=ref!$L$7,L37&lt;=ref!$M$7),ref!$K$7,IF(AND(L37&gt;=ref!$L$8,L37&lt;=ref!$M$8),ref!$K$8,IF(AND(L37&gt;=ref!$L$9,L37&lt;=ref!$M$9),ref!$K$9,IF(AND(L37&gt;=ref!$L$11,L37&lt;=ref!$M$11),ref!$K$11,IF(AND(L37&gt;=ref!$L$12,L37&lt;=ref!$M$12),ref!$K$12,""))))))))))</f>
        <v/>
      </c>
      <c r="N37" s="22"/>
      <c r="O37" s="16"/>
      <c r="P37" s="22"/>
      <c r="Q37" s="27"/>
      <c r="R37" s="22"/>
      <c r="S37" s="22"/>
      <c r="T37" s="16"/>
      <c r="U37" s="16"/>
      <c r="V37" s="16"/>
      <c r="W37" s="16"/>
      <c r="X37" s="16"/>
      <c r="Y37" s="16"/>
      <c r="Z37" s="16"/>
      <c r="AA37" s="16"/>
      <c r="AB37" s="22"/>
    </row>
    <row r="38" spans="1:28" x14ac:dyDescent="0.3">
      <c r="A38" s="22"/>
      <c r="B38" s="22"/>
      <c r="C38" s="22"/>
      <c r="D38" s="22"/>
      <c r="E38" s="22"/>
      <c r="F38" s="22"/>
      <c r="G38" s="22"/>
      <c r="H38" s="22"/>
      <c r="I38" s="24" t="str">
        <f t="shared" si="0"/>
        <v/>
      </c>
      <c r="J38" s="25" t="str">
        <f t="shared" si="1"/>
        <v/>
      </c>
      <c r="K38" s="22"/>
      <c r="L38" s="22"/>
      <c r="M38" s="25" t="str">
        <f>IF(AND(L38&gt;=ref!$L$2,L38&lt;=ref!$M$2),ref!$K$2,IF(AND(L38&gt;=ref!$L$3,L38&lt;=ref!$M$3),ref!$K$3,IF(AND(L38&gt;=ref!$L$4,L38&lt;=ref!$M$4),ref!$K$4,IF(AND(L38&gt;=ref!$L$5,L38&lt;=ref!$M$5),ref!$K$5,IF(AND(L38&gt;=ref!$L$6,L38&lt;=ref!$M$6),ref!$K$6,IF(AND(L38&gt;=ref!$L$7,L38&lt;=ref!$M$7),ref!$K$7,IF(AND(L38&gt;=ref!$L$8,L38&lt;=ref!$M$8),ref!$K$8,IF(AND(L38&gt;=ref!$L$9,L38&lt;=ref!$M$9),ref!$K$9,IF(AND(L38&gt;=ref!$L$11,L38&lt;=ref!$M$11),ref!$K$11,IF(AND(L38&gt;=ref!$L$12,L38&lt;=ref!$M$12),ref!$K$12,""))))))))))</f>
        <v/>
      </c>
      <c r="N38" s="22"/>
      <c r="O38" s="16"/>
      <c r="P38" s="22"/>
      <c r="Q38" s="27"/>
      <c r="R38" s="22"/>
      <c r="S38" s="22"/>
      <c r="T38" s="16"/>
      <c r="U38" s="16"/>
      <c r="V38" s="16"/>
      <c r="W38" s="16"/>
      <c r="X38" s="16"/>
      <c r="Y38" s="16"/>
      <c r="Z38" s="16"/>
      <c r="AA38" s="16"/>
      <c r="AB38" s="22"/>
    </row>
    <row r="39" spans="1:28" x14ac:dyDescent="0.3">
      <c r="A39" s="22"/>
      <c r="B39" s="22"/>
      <c r="C39" s="22"/>
      <c r="D39" s="22"/>
      <c r="E39" s="22"/>
      <c r="F39" s="22"/>
      <c r="G39" s="22"/>
      <c r="H39" s="22"/>
      <c r="I39" s="24" t="str">
        <f t="shared" si="0"/>
        <v/>
      </c>
      <c r="J39" s="25" t="str">
        <f t="shared" si="1"/>
        <v/>
      </c>
      <c r="K39" s="22"/>
      <c r="L39" s="22"/>
      <c r="M39" s="25" t="str">
        <f>IF(AND(L39&gt;=ref!$L$2,L39&lt;=ref!$M$2),ref!$K$2,IF(AND(L39&gt;=ref!$L$3,L39&lt;=ref!$M$3),ref!$K$3,IF(AND(L39&gt;=ref!$L$4,L39&lt;=ref!$M$4),ref!$K$4,IF(AND(L39&gt;=ref!$L$5,L39&lt;=ref!$M$5),ref!$K$5,IF(AND(L39&gt;=ref!$L$6,L39&lt;=ref!$M$6),ref!$K$6,IF(AND(L39&gt;=ref!$L$7,L39&lt;=ref!$M$7),ref!$K$7,IF(AND(L39&gt;=ref!$L$8,L39&lt;=ref!$M$8),ref!$K$8,IF(AND(L39&gt;=ref!$L$9,L39&lt;=ref!$M$9),ref!$K$9,IF(AND(L39&gt;=ref!$L$11,L39&lt;=ref!$M$11),ref!$K$11,IF(AND(L39&gt;=ref!$L$12,L39&lt;=ref!$M$12),ref!$K$12,""))))))))))</f>
        <v/>
      </c>
      <c r="N39" s="22"/>
      <c r="O39" s="16"/>
      <c r="P39" s="22"/>
      <c r="Q39" s="27"/>
      <c r="R39" s="22"/>
      <c r="S39" s="22"/>
      <c r="T39" s="16"/>
      <c r="U39" s="16"/>
      <c r="V39" s="16"/>
      <c r="W39" s="16"/>
      <c r="X39" s="16"/>
      <c r="Y39" s="16"/>
      <c r="Z39" s="16"/>
      <c r="AA39" s="16"/>
      <c r="AB39" s="22"/>
    </row>
    <row r="40" spans="1:28" x14ac:dyDescent="0.3">
      <c r="A40" s="22"/>
      <c r="B40" s="22"/>
      <c r="C40" s="22"/>
      <c r="D40" s="22"/>
      <c r="E40" s="22"/>
      <c r="F40" s="22"/>
      <c r="G40" s="22"/>
      <c r="H40" s="22"/>
      <c r="I40" s="24" t="str">
        <f t="shared" si="0"/>
        <v/>
      </c>
      <c r="J40" s="25" t="str">
        <f t="shared" si="1"/>
        <v/>
      </c>
      <c r="K40" s="22"/>
      <c r="L40" s="22"/>
      <c r="M40" s="25" t="str">
        <f>IF(AND(L40&gt;=ref!$L$2,L40&lt;=ref!$M$2),ref!$K$2,IF(AND(L40&gt;=ref!$L$3,L40&lt;=ref!$M$3),ref!$K$3,IF(AND(L40&gt;=ref!$L$4,L40&lt;=ref!$M$4),ref!$K$4,IF(AND(L40&gt;=ref!$L$5,L40&lt;=ref!$M$5),ref!$K$5,IF(AND(L40&gt;=ref!$L$6,L40&lt;=ref!$M$6),ref!$K$6,IF(AND(L40&gt;=ref!$L$7,L40&lt;=ref!$M$7),ref!$K$7,IF(AND(L40&gt;=ref!$L$8,L40&lt;=ref!$M$8),ref!$K$8,IF(AND(L40&gt;=ref!$L$9,L40&lt;=ref!$M$9),ref!$K$9,IF(AND(L40&gt;=ref!$L$11,L40&lt;=ref!$M$11),ref!$K$11,IF(AND(L40&gt;=ref!$L$12,L40&lt;=ref!$M$12),ref!$K$12,""))))))))))</f>
        <v/>
      </c>
      <c r="N40" s="22"/>
      <c r="O40" s="16"/>
      <c r="P40" s="22"/>
      <c r="Q40" s="27"/>
      <c r="R40" s="22"/>
      <c r="S40" s="22"/>
      <c r="T40" s="16"/>
      <c r="U40" s="16"/>
      <c r="V40" s="16"/>
      <c r="W40" s="16"/>
      <c r="X40" s="16"/>
      <c r="Y40" s="16"/>
      <c r="Z40" s="16"/>
      <c r="AA40" s="16"/>
      <c r="AB40" s="22"/>
    </row>
    <row r="41" spans="1:28" x14ac:dyDescent="0.3">
      <c r="A41" s="22"/>
      <c r="B41" s="22"/>
      <c r="C41" s="22"/>
      <c r="D41" s="22"/>
      <c r="E41" s="22"/>
      <c r="F41" s="22"/>
      <c r="G41" s="22"/>
      <c r="H41" s="22"/>
      <c r="I41" s="24" t="str">
        <f t="shared" si="0"/>
        <v/>
      </c>
      <c r="J41" s="25" t="str">
        <f t="shared" si="1"/>
        <v/>
      </c>
      <c r="K41" s="22"/>
      <c r="L41" s="22"/>
      <c r="M41" s="25" t="str">
        <f>IF(AND(L41&gt;=ref!$L$2,L41&lt;=ref!$M$2),ref!$K$2,IF(AND(L41&gt;=ref!$L$3,L41&lt;=ref!$M$3),ref!$K$3,IF(AND(L41&gt;=ref!$L$4,L41&lt;=ref!$M$4),ref!$K$4,IF(AND(L41&gt;=ref!$L$5,L41&lt;=ref!$M$5),ref!$K$5,IF(AND(L41&gt;=ref!$L$6,L41&lt;=ref!$M$6),ref!$K$6,IF(AND(L41&gt;=ref!$L$7,L41&lt;=ref!$M$7),ref!$K$7,IF(AND(L41&gt;=ref!$L$8,L41&lt;=ref!$M$8),ref!$K$8,IF(AND(L41&gt;=ref!$L$9,L41&lt;=ref!$M$9),ref!$K$9,IF(AND(L41&gt;=ref!$L$11,L41&lt;=ref!$M$11),ref!$K$11,IF(AND(L41&gt;=ref!$L$12,L41&lt;=ref!$M$12),ref!$K$12,""))))))))))</f>
        <v/>
      </c>
      <c r="N41" s="22"/>
      <c r="O41" s="16"/>
      <c r="P41" s="22"/>
      <c r="Q41" s="27"/>
      <c r="R41" s="22"/>
      <c r="S41" s="22"/>
      <c r="T41" s="16"/>
      <c r="U41" s="16"/>
      <c r="V41" s="16"/>
      <c r="W41" s="16"/>
      <c r="X41" s="16"/>
      <c r="Y41" s="16"/>
      <c r="Z41" s="16"/>
      <c r="AA41" s="16"/>
      <c r="AB41" s="22"/>
    </row>
    <row r="42" spans="1:28" x14ac:dyDescent="0.3">
      <c r="A42" s="22"/>
      <c r="B42" s="22"/>
      <c r="C42" s="22"/>
      <c r="D42" s="22"/>
      <c r="E42" s="22"/>
      <c r="F42" s="22"/>
      <c r="G42" s="22"/>
      <c r="H42" s="22"/>
      <c r="I42" s="24" t="str">
        <f t="shared" si="0"/>
        <v/>
      </c>
      <c r="J42" s="25" t="str">
        <f t="shared" si="1"/>
        <v/>
      </c>
      <c r="K42" s="22"/>
      <c r="L42" s="22"/>
      <c r="M42" s="25" t="str">
        <f>IF(AND(L42&gt;=ref!$L$2,L42&lt;=ref!$M$2),ref!$K$2,IF(AND(L42&gt;=ref!$L$3,L42&lt;=ref!$M$3),ref!$K$3,IF(AND(L42&gt;=ref!$L$4,L42&lt;=ref!$M$4),ref!$K$4,IF(AND(L42&gt;=ref!$L$5,L42&lt;=ref!$M$5),ref!$K$5,IF(AND(L42&gt;=ref!$L$6,L42&lt;=ref!$M$6),ref!$K$6,IF(AND(L42&gt;=ref!$L$7,L42&lt;=ref!$M$7),ref!$K$7,IF(AND(L42&gt;=ref!$L$8,L42&lt;=ref!$M$8),ref!$K$8,IF(AND(L42&gt;=ref!$L$9,L42&lt;=ref!$M$9),ref!$K$9,IF(AND(L42&gt;=ref!$L$11,L42&lt;=ref!$M$11),ref!$K$11,IF(AND(L42&gt;=ref!$L$12,L42&lt;=ref!$M$12),ref!$K$12,""))))))))))</f>
        <v/>
      </c>
      <c r="N42" s="22"/>
      <c r="O42" s="16"/>
      <c r="P42" s="22"/>
      <c r="Q42" s="27"/>
      <c r="R42" s="22"/>
      <c r="S42" s="22"/>
      <c r="T42" s="16"/>
      <c r="U42" s="16"/>
      <c r="V42" s="16"/>
      <c r="W42" s="16"/>
      <c r="X42" s="16"/>
      <c r="Y42" s="16"/>
      <c r="Z42" s="16"/>
      <c r="AA42" s="16"/>
      <c r="AB42" s="22"/>
    </row>
    <row r="43" spans="1:28" x14ac:dyDescent="0.3">
      <c r="A43" s="22"/>
      <c r="B43" s="22"/>
      <c r="C43" s="22"/>
      <c r="D43" s="22"/>
      <c r="E43" s="22"/>
      <c r="F43" s="22"/>
      <c r="G43" s="22"/>
      <c r="H43" s="22"/>
      <c r="I43" s="24" t="str">
        <f t="shared" si="0"/>
        <v/>
      </c>
      <c r="J43" s="25" t="str">
        <f t="shared" si="1"/>
        <v/>
      </c>
      <c r="K43" s="22"/>
      <c r="L43" s="22"/>
      <c r="M43" s="25" t="str">
        <f>IF(AND(L43&gt;=ref!$L$2,L43&lt;=ref!$M$2),ref!$K$2,IF(AND(L43&gt;=ref!$L$3,L43&lt;=ref!$M$3),ref!$K$3,IF(AND(L43&gt;=ref!$L$4,L43&lt;=ref!$M$4),ref!$K$4,IF(AND(L43&gt;=ref!$L$5,L43&lt;=ref!$M$5),ref!$K$5,IF(AND(L43&gt;=ref!$L$6,L43&lt;=ref!$M$6),ref!$K$6,IF(AND(L43&gt;=ref!$L$7,L43&lt;=ref!$M$7),ref!$K$7,IF(AND(L43&gt;=ref!$L$8,L43&lt;=ref!$M$8),ref!$K$8,IF(AND(L43&gt;=ref!$L$9,L43&lt;=ref!$M$9),ref!$K$9,IF(AND(L43&gt;=ref!$L$11,L43&lt;=ref!$M$11),ref!$K$11,IF(AND(L43&gt;=ref!$L$12,L43&lt;=ref!$M$12),ref!$K$12,""))))))))))</f>
        <v/>
      </c>
      <c r="N43" s="22"/>
      <c r="O43" s="16"/>
      <c r="P43" s="22"/>
      <c r="Q43" s="27"/>
      <c r="R43" s="22"/>
      <c r="S43" s="22"/>
      <c r="T43" s="16"/>
      <c r="U43" s="16"/>
      <c r="V43" s="16"/>
      <c r="W43" s="16"/>
      <c r="X43" s="16"/>
      <c r="Y43" s="16"/>
      <c r="Z43" s="16"/>
      <c r="AA43" s="16"/>
      <c r="AB43" s="22"/>
    </row>
    <row r="44" spans="1:28" x14ac:dyDescent="0.3">
      <c r="A44" s="22"/>
      <c r="B44" s="22"/>
      <c r="C44" s="22"/>
      <c r="D44" s="22"/>
      <c r="E44" s="22"/>
      <c r="F44" s="22"/>
      <c r="G44" s="22"/>
      <c r="H44" s="22"/>
      <c r="I44" s="24" t="str">
        <f t="shared" si="0"/>
        <v/>
      </c>
      <c r="J44" s="25" t="str">
        <f t="shared" si="1"/>
        <v/>
      </c>
      <c r="K44" s="22"/>
      <c r="L44" s="22"/>
      <c r="M44" s="25" t="str">
        <f>IF(AND(L44&gt;=ref!$L$2,L44&lt;=ref!$M$2),ref!$K$2,IF(AND(L44&gt;=ref!$L$3,L44&lt;=ref!$M$3),ref!$K$3,IF(AND(L44&gt;=ref!$L$4,L44&lt;=ref!$M$4),ref!$K$4,IF(AND(L44&gt;=ref!$L$5,L44&lt;=ref!$M$5),ref!$K$5,IF(AND(L44&gt;=ref!$L$6,L44&lt;=ref!$M$6),ref!$K$6,IF(AND(L44&gt;=ref!$L$7,L44&lt;=ref!$M$7),ref!$K$7,IF(AND(L44&gt;=ref!$L$8,L44&lt;=ref!$M$8),ref!$K$8,IF(AND(L44&gt;=ref!$L$9,L44&lt;=ref!$M$9),ref!$K$9,IF(AND(L44&gt;=ref!$L$11,L44&lt;=ref!$M$11),ref!$K$11,IF(AND(L44&gt;=ref!$L$12,L44&lt;=ref!$M$12),ref!$K$12,""))))))))))</f>
        <v/>
      </c>
      <c r="N44" s="22"/>
      <c r="O44" s="16"/>
      <c r="P44" s="22"/>
      <c r="Q44" s="27"/>
      <c r="R44" s="22"/>
      <c r="S44" s="22"/>
      <c r="T44" s="16"/>
      <c r="U44" s="16"/>
      <c r="V44" s="16"/>
      <c r="W44" s="16"/>
      <c r="X44" s="16"/>
      <c r="Y44" s="16"/>
      <c r="Z44" s="16"/>
      <c r="AA44" s="16"/>
      <c r="AB44" s="22"/>
    </row>
    <row r="45" spans="1:28" x14ac:dyDescent="0.3">
      <c r="A45" s="22"/>
      <c r="B45" s="22"/>
      <c r="C45" s="22"/>
      <c r="D45" s="22"/>
      <c r="E45" s="22"/>
      <c r="F45" s="22"/>
      <c r="G45" s="22"/>
      <c r="H45" s="22"/>
      <c r="I45" s="24" t="str">
        <f t="shared" si="0"/>
        <v/>
      </c>
      <c r="J45" s="25" t="str">
        <f t="shared" si="1"/>
        <v/>
      </c>
      <c r="K45" s="22"/>
      <c r="L45" s="22"/>
      <c r="M45" s="25" t="str">
        <f>IF(AND(L45&gt;=ref!$L$2,L45&lt;=ref!$M$2),ref!$K$2,IF(AND(L45&gt;=ref!$L$3,L45&lt;=ref!$M$3),ref!$K$3,IF(AND(L45&gt;=ref!$L$4,L45&lt;=ref!$M$4),ref!$K$4,IF(AND(L45&gt;=ref!$L$5,L45&lt;=ref!$M$5),ref!$K$5,IF(AND(L45&gt;=ref!$L$6,L45&lt;=ref!$M$6),ref!$K$6,IF(AND(L45&gt;=ref!$L$7,L45&lt;=ref!$M$7),ref!$K$7,IF(AND(L45&gt;=ref!$L$8,L45&lt;=ref!$M$8),ref!$K$8,IF(AND(L45&gt;=ref!$L$9,L45&lt;=ref!$M$9),ref!$K$9,IF(AND(L45&gt;=ref!$L$11,L45&lt;=ref!$M$11),ref!$K$11,IF(AND(L45&gt;=ref!$L$12,L45&lt;=ref!$M$12),ref!$K$12,""))))))))))</f>
        <v/>
      </c>
      <c r="N45" s="22"/>
      <c r="O45" s="16"/>
      <c r="P45" s="22"/>
      <c r="Q45" s="27"/>
      <c r="R45" s="22"/>
      <c r="S45" s="22"/>
      <c r="T45" s="16"/>
      <c r="U45" s="16"/>
      <c r="V45" s="16"/>
      <c r="W45" s="16"/>
      <c r="X45" s="16"/>
      <c r="Y45" s="16"/>
      <c r="Z45" s="16"/>
      <c r="AA45" s="16"/>
      <c r="AB45" s="22"/>
    </row>
    <row r="46" spans="1:28" x14ac:dyDescent="0.3">
      <c r="A46" s="22"/>
      <c r="B46" s="22"/>
      <c r="C46" s="22"/>
      <c r="D46" s="22"/>
      <c r="E46" s="22"/>
      <c r="F46" s="22"/>
      <c r="G46" s="22"/>
      <c r="H46" s="22"/>
      <c r="I46" s="24" t="str">
        <f t="shared" si="0"/>
        <v/>
      </c>
      <c r="J46" s="25" t="str">
        <f t="shared" si="1"/>
        <v/>
      </c>
      <c r="K46" s="22"/>
      <c r="L46" s="22"/>
      <c r="M46" s="25" t="str">
        <f>IF(AND(L46&gt;=ref!$L$2,L46&lt;=ref!$M$2),ref!$K$2,IF(AND(L46&gt;=ref!$L$3,L46&lt;=ref!$M$3),ref!$K$3,IF(AND(L46&gt;=ref!$L$4,L46&lt;=ref!$M$4),ref!$K$4,IF(AND(L46&gt;=ref!$L$5,L46&lt;=ref!$M$5),ref!$K$5,IF(AND(L46&gt;=ref!$L$6,L46&lt;=ref!$M$6),ref!$K$6,IF(AND(L46&gt;=ref!$L$7,L46&lt;=ref!$M$7),ref!$K$7,IF(AND(L46&gt;=ref!$L$8,L46&lt;=ref!$M$8),ref!$K$8,IF(AND(L46&gt;=ref!$L$9,L46&lt;=ref!$M$9),ref!$K$9,IF(AND(L46&gt;=ref!$L$11,L46&lt;=ref!$M$11),ref!$K$11,IF(AND(L46&gt;=ref!$L$12,L46&lt;=ref!$M$12),ref!$K$12,""))))))))))</f>
        <v/>
      </c>
      <c r="N46" s="22"/>
      <c r="O46" s="16"/>
      <c r="P46" s="22"/>
      <c r="Q46" s="27"/>
      <c r="R46" s="22"/>
      <c r="S46" s="22"/>
      <c r="T46" s="16"/>
      <c r="U46" s="16"/>
      <c r="V46" s="16"/>
      <c r="W46" s="16"/>
      <c r="X46" s="16"/>
      <c r="Y46" s="16"/>
      <c r="Z46" s="16"/>
      <c r="AA46" s="16"/>
      <c r="AB46" s="22"/>
    </row>
    <row r="47" spans="1:28" x14ac:dyDescent="0.3">
      <c r="A47" s="22"/>
      <c r="B47" s="22"/>
      <c r="C47" s="22"/>
      <c r="D47" s="22"/>
      <c r="E47" s="22"/>
      <c r="F47" s="22"/>
      <c r="G47" s="22"/>
      <c r="H47" s="22"/>
      <c r="I47" s="24" t="str">
        <f t="shared" si="0"/>
        <v/>
      </c>
      <c r="J47" s="25" t="str">
        <f t="shared" si="1"/>
        <v/>
      </c>
      <c r="K47" s="22"/>
      <c r="L47" s="22"/>
      <c r="M47" s="25" t="str">
        <f>IF(AND(L47&gt;=ref!$L$2,L47&lt;=ref!$M$2),ref!$K$2,IF(AND(L47&gt;=ref!$L$3,L47&lt;=ref!$M$3),ref!$K$3,IF(AND(L47&gt;=ref!$L$4,L47&lt;=ref!$M$4),ref!$K$4,IF(AND(L47&gt;=ref!$L$5,L47&lt;=ref!$M$5),ref!$K$5,IF(AND(L47&gt;=ref!$L$6,L47&lt;=ref!$M$6),ref!$K$6,IF(AND(L47&gt;=ref!$L$7,L47&lt;=ref!$M$7),ref!$K$7,IF(AND(L47&gt;=ref!$L$8,L47&lt;=ref!$M$8),ref!$K$8,IF(AND(L47&gt;=ref!$L$9,L47&lt;=ref!$M$9),ref!$K$9,IF(AND(L47&gt;=ref!$L$11,L47&lt;=ref!$M$11),ref!$K$11,IF(AND(L47&gt;=ref!$L$12,L47&lt;=ref!$M$12),ref!$K$12,""))))))))))</f>
        <v/>
      </c>
      <c r="N47" s="22"/>
      <c r="O47" s="16"/>
      <c r="P47" s="22"/>
      <c r="Q47" s="27"/>
      <c r="R47" s="22"/>
      <c r="S47" s="22"/>
      <c r="T47" s="16"/>
      <c r="U47" s="16"/>
      <c r="V47" s="16"/>
      <c r="W47" s="16"/>
      <c r="X47" s="16"/>
      <c r="Y47" s="16"/>
      <c r="Z47" s="16"/>
      <c r="AA47" s="16"/>
      <c r="AB47" s="22"/>
    </row>
    <row r="48" spans="1:28" x14ac:dyDescent="0.3">
      <c r="A48" s="22"/>
      <c r="B48" s="22"/>
      <c r="C48" s="22"/>
      <c r="D48" s="22"/>
      <c r="E48" s="22"/>
      <c r="F48" s="22"/>
      <c r="G48" s="22"/>
      <c r="H48" s="22"/>
      <c r="I48" s="24" t="str">
        <f t="shared" si="0"/>
        <v/>
      </c>
      <c r="J48" s="25" t="str">
        <f t="shared" si="1"/>
        <v/>
      </c>
      <c r="K48" s="22"/>
      <c r="L48" s="22"/>
      <c r="M48" s="25" t="str">
        <f>IF(AND(L48&gt;=ref!$L$2,L48&lt;=ref!$M$2),ref!$K$2,IF(AND(L48&gt;=ref!$L$3,L48&lt;=ref!$M$3),ref!$K$3,IF(AND(L48&gt;=ref!$L$4,L48&lt;=ref!$M$4),ref!$K$4,IF(AND(L48&gt;=ref!$L$5,L48&lt;=ref!$M$5),ref!$K$5,IF(AND(L48&gt;=ref!$L$6,L48&lt;=ref!$M$6),ref!$K$6,IF(AND(L48&gt;=ref!$L$7,L48&lt;=ref!$M$7),ref!$K$7,IF(AND(L48&gt;=ref!$L$8,L48&lt;=ref!$M$8),ref!$K$8,IF(AND(L48&gt;=ref!$L$9,L48&lt;=ref!$M$9),ref!$K$9,IF(AND(L48&gt;=ref!$L$11,L48&lt;=ref!$M$11),ref!$K$11,IF(AND(L48&gt;=ref!$L$12,L48&lt;=ref!$M$12),ref!$K$12,""))))))))))</f>
        <v/>
      </c>
      <c r="N48" s="22"/>
      <c r="O48" s="16"/>
      <c r="P48" s="22"/>
      <c r="Q48" s="27"/>
      <c r="R48" s="22"/>
      <c r="S48" s="22"/>
      <c r="T48" s="16"/>
      <c r="U48" s="16"/>
      <c r="V48" s="16"/>
      <c r="W48" s="16"/>
      <c r="X48" s="16"/>
      <c r="Y48" s="16"/>
      <c r="Z48" s="16"/>
      <c r="AA48" s="16"/>
      <c r="AB48" s="22"/>
    </row>
    <row r="49" spans="1:28" x14ac:dyDescent="0.3">
      <c r="A49" s="22"/>
      <c r="B49" s="22"/>
      <c r="C49" s="22"/>
      <c r="D49" s="22"/>
      <c r="E49" s="22"/>
      <c r="F49" s="22"/>
      <c r="G49" s="22"/>
      <c r="H49" s="22"/>
      <c r="I49" s="24" t="str">
        <f t="shared" si="0"/>
        <v/>
      </c>
      <c r="J49" s="25" t="str">
        <f t="shared" si="1"/>
        <v/>
      </c>
      <c r="K49" s="22"/>
      <c r="L49" s="22"/>
      <c r="M49" s="25" t="str">
        <f>IF(AND(L49&gt;=ref!$L$2,L49&lt;=ref!$M$2),ref!$K$2,IF(AND(L49&gt;=ref!$L$3,L49&lt;=ref!$M$3),ref!$K$3,IF(AND(L49&gt;=ref!$L$4,L49&lt;=ref!$M$4),ref!$K$4,IF(AND(L49&gt;=ref!$L$5,L49&lt;=ref!$M$5),ref!$K$5,IF(AND(L49&gt;=ref!$L$6,L49&lt;=ref!$M$6),ref!$K$6,IF(AND(L49&gt;=ref!$L$7,L49&lt;=ref!$M$7),ref!$K$7,IF(AND(L49&gt;=ref!$L$8,L49&lt;=ref!$M$8),ref!$K$8,IF(AND(L49&gt;=ref!$L$9,L49&lt;=ref!$M$9),ref!$K$9,IF(AND(L49&gt;=ref!$L$11,L49&lt;=ref!$M$11),ref!$K$11,IF(AND(L49&gt;=ref!$L$12,L49&lt;=ref!$M$12),ref!$K$12,""))))))))))</f>
        <v/>
      </c>
      <c r="N49" s="22"/>
      <c r="O49" s="16"/>
      <c r="P49" s="22"/>
      <c r="Q49" s="27"/>
      <c r="R49" s="22"/>
      <c r="S49" s="22"/>
      <c r="T49" s="16"/>
      <c r="U49" s="16"/>
      <c r="V49" s="16"/>
      <c r="W49" s="16"/>
      <c r="X49" s="16"/>
      <c r="Y49" s="16"/>
      <c r="Z49" s="16"/>
      <c r="AA49" s="16"/>
      <c r="AB49" s="22"/>
    </row>
    <row r="50" spans="1:28" x14ac:dyDescent="0.3">
      <c r="A50" s="22"/>
      <c r="B50" s="22"/>
      <c r="C50" s="22"/>
      <c r="D50" s="22"/>
      <c r="E50" s="22"/>
      <c r="F50" s="22"/>
      <c r="G50" s="22"/>
      <c r="H50" s="22"/>
      <c r="I50" s="24" t="str">
        <f t="shared" si="0"/>
        <v/>
      </c>
      <c r="J50" s="25" t="str">
        <f t="shared" si="1"/>
        <v/>
      </c>
      <c r="K50" s="22"/>
      <c r="L50" s="22"/>
      <c r="M50" s="25" t="str">
        <f>IF(AND(L50&gt;=ref!$L$2,L50&lt;=ref!$M$2),ref!$K$2,IF(AND(L50&gt;=ref!$L$3,L50&lt;=ref!$M$3),ref!$K$3,IF(AND(L50&gt;=ref!$L$4,L50&lt;=ref!$M$4),ref!$K$4,IF(AND(L50&gt;=ref!$L$5,L50&lt;=ref!$M$5),ref!$K$5,IF(AND(L50&gt;=ref!$L$6,L50&lt;=ref!$M$6),ref!$K$6,IF(AND(L50&gt;=ref!$L$7,L50&lt;=ref!$M$7),ref!$K$7,IF(AND(L50&gt;=ref!$L$8,L50&lt;=ref!$M$8),ref!$K$8,IF(AND(L50&gt;=ref!$L$9,L50&lt;=ref!$M$9),ref!$K$9,IF(AND(L50&gt;=ref!$L$11,L50&lt;=ref!$M$11),ref!$K$11,IF(AND(L50&gt;=ref!$L$12,L50&lt;=ref!$M$12),ref!$K$12,""))))))))))</f>
        <v/>
      </c>
      <c r="N50" s="22"/>
      <c r="O50" s="16"/>
      <c r="P50" s="22"/>
      <c r="Q50" s="27"/>
      <c r="R50" s="22"/>
      <c r="S50" s="22"/>
      <c r="T50" s="16"/>
      <c r="U50" s="16"/>
      <c r="V50" s="16"/>
      <c r="W50" s="16"/>
      <c r="X50" s="16"/>
      <c r="Y50" s="16"/>
      <c r="Z50" s="16"/>
      <c r="AA50" s="16"/>
      <c r="AB50" s="22"/>
    </row>
    <row r="51" spans="1:28" x14ac:dyDescent="0.3">
      <c r="A51" s="22"/>
      <c r="B51" s="22"/>
      <c r="C51" s="22"/>
      <c r="D51" s="22"/>
      <c r="E51" s="22"/>
      <c r="F51" s="22"/>
      <c r="G51" s="22"/>
      <c r="H51" s="22"/>
      <c r="I51" s="24" t="str">
        <f t="shared" si="0"/>
        <v/>
      </c>
      <c r="J51" s="25" t="str">
        <f t="shared" si="1"/>
        <v/>
      </c>
      <c r="K51" s="22"/>
      <c r="L51" s="22"/>
      <c r="M51" s="25" t="str">
        <f>IF(AND(L51&gt;=ref!$L$2,L51&lt;=ref!$M$2),ref!$K$2,IF(AND(L51&gt;=ref!$L$3,L51&lt;=ref!$M$3),ref!$K$3,IF(AND(L51&gt;=ref!$L$4,L51&lt;=ref!$M$4),ref!$K$4,IF(AND(L51&gt;=ref!$L$5,L51&lt;=ref!$M$5),ref!$K$5,IF(AND(L51&gt;=ref!$L$6,L51&lt;=ref!$M$6),ref!$K$6,IF(AND(L51&gt;=ref!$L$7,L51&lt;=ref!$M$7),ref!$K$7,IF(AND(L51&gt;=ref!$L$8,L51&lt;=ref!$M$8),ref!$K$8,IF(AND(L51&gt;=ref!$L$9,L51&lt;=ref!$M$9),ref!$K$9,IF(AND(L51&gt;=ref!$L$11,L51&lt;=ref!$M$11),ref!$K$11,IF(AND(L51&gt;=ref!$L$12,L51&lt;=ref!$M$12),ref!$K$12,""))))))))))</f>
        <v/>
      </c>
      <c r="N51" s="22"/>
      <c r="O51" s="16"/>
      <c r="P51" s="22"/>
      <c r="Q51" s="27"/>
      <c r="R51" s="22"/>
      <c r="S51" s="22"/>
      <c r="T51" s="16"/>
      <c r="U51" s="16"/>
      <c r="V51" s="16"/>
      <c r="W51" s="16"/>
      <c r="X51" s="16"/>
      <c r="Y51" s="16"/>
      <c r="Z51" s="16"/>
      <c r="AA51" s="16"/>
      <c r="AB51" s="22"/>
    </row>
    <row r="52" spans="1:28" x14ac:dyDescent="0.3">
      <c r="A52" s="22"/>
      <c r="B52" s="22"/>
      <c r="C52" s="22"/>
      <c r="D52" s="22"/>
      <c r="E52" s="22"/>
      <c r="F52" s="22"/>
      <c r="G52" s="22"/>
      <c r="H52" s="22"/>
      <c r="I52" s="24" t="str">
        <f t="shared" si="0"/>
        <v/>
      </c>
      <c r="J52" s="25" t="str">
        <f t="shared" si="1"/>
        <v/>
      </c>
      <c r="K52" s="22"/>
      <c r="L52" s="22"/>
      <c r="M52" s="25" t="str">
        <f>IF(AND(L52&gt;=ref!$L$2,L52&lt;=ref!$M$2),ref!$K$2,IF(AND(L52&gt;=ref!$L$3,L52&lt;=ref!$M$3),ref!$K$3,IF(AND(L52&gt;=ref!$L$4,L52&lt;=ref!$M$4),ref!$K$4,IF(AND(L52&gt;=ref!$L$5,L52&lt;=ref!$M$5),ref!$K$5,IF(AND(L52&gt;=ref!$L$6,L52&lt;=ref!$M$6),ref!$K$6,IF(AND(L52&gt;=ref!$L$7,L52&lt;=ref!$M$7),ref!$K$7,IF(AND(L52&gt;=ref!$L$8,L52&lt;=ref!$M$8),ref!$K$8,IF(AND(L52&gt;=ref!$L$9,L52&lt;=ref!$M$9),ref!$K$9,IF(AND(L52&gt;=ref!$L$11,L52&lt;=ref!$M$11),ref!$K$11,IF(AND(L52&gt;=ref!$L$12,L52&lt;=ref!$M$12),ref!$K$12,""))))))))))</f>
        <v/>
      </c>
      <c r="N52" s="22"/>
      <c r="O52" s="16"/>
      <c r="P52" s="22"/>
      <c r="Q52" s="27"/>
      <c r="R52" s="22"/>
      <c r="S52" s="22"/>
      <c r="T52" s="16"/>
      <c r="U52" s="16"/>
      <c r="V52" s="16"/>
      <c r="W52" s="16"/>
      <c r="X52" s="16"/>
      <c r="Y52" s="16"/>
      <c r="Z52" s="16"/>
      <c r="AA52" s="16"/>
      <c r="AB52" s="22"/>
    </row>
    <row r="53" spans="1:28" x14ac:dyDescent="0.3">
      <c r="A53" s="22"/>
      <c r="B53" s="22"/>
      <c r="C53" s="22"/>
      <c r="D53" s="22"/>
      <c r="E53" s="22"/>
      <c r="F53" s="22"/>
      <c r="G53" s="22"/>
      <c r="H53" s="22"/>
      <c r="I53" s="24" t="str">
        <f t="shared" si="0"/>
        <v/>
      </c>
      <c r="J53" s="25" t="str">
        <f t="shared" si="1"/>
        <v/>
      </c>
      <c r="K53" s="22"/>
      <c r="L53" s="22"/>
      <c r="M53" s="25" t="str">
        <f>IF(AND(L53&gt;=ref!$L$2,L53&lt;=ref!$M$2),ref!$K$2,IF(AND(L53&gt;=ref!$L$3,L53&lt;=ref!$M$3),ref!$K$3,IF(AND(L53&gt;=ref!$L$4,L53&lt;=ref!$M$4),ref!$K$4,IF(AND(L53&gt;=ref!$L$5,L53&lt;=ref!$M$5),ref!$K$5,IF(AND(L53&gt;=ref!$L$6,L53&lt;=ref!$M$6),ref!$K$6,IF(AND(L53&gt;=ref!$L$7,L53&lt;=ref!$M$7),ref!$K$7,IF(AND(L53&gt;=ref!$L$8,L53&lt;=ref!$M$8),ref!$K$8,IF(AND(L53&gt;=ref!$L$9,L53&lt;=ref!$M$9),ref!$K$9,IF(AND(L53&gt;=ref!$L$11,L53&lt;=ref!$M$11),ref!$K$11,IF(AND(L53&gt;=ref!$L$12,L53&lt;=ref!$M$12),ref!$K$12,""))))))))))</f>
        <v/>
      </c>
      <c r="N53" s="22"/>
      <c r="O53" s="16"/>
      <c r="P53" s="22"/>
      <c r="Q53" s="27"/>
      <c r="R53" s="22"/>
      <c r="S53" s="22"/>
      <c r="T53" s="16"/>
      <c r="U53" s="16"/>
      <c r="V53" s="16"/>
      <c r="W53" s="16"/>
      <c r="X53" s="16"/>
      <c r="Y53" s="16"/>
      <c r="Z53" s="16"/>
      <c r="AA53" s="16"/>
      <c r="AB53" s="22"/>
    </row>
    <row r="54" spans="1:28" x14ac:dyDescent="0.3">
      <c r="A54" s="22"/>
      <c r="B54" s="22"/>
      <c r="C54" s="22"/>
      <c r="D54" s="22"/>
      <c r="E54" s="22"/>
      <c r="F54" s="22"/>
      <c r="G54" s="22"/>
      <c r="H54" s="22"/>
      <c r="I54" s="24" t="str">
        <f t="shared" si="0"/>
        <v/>
      </c>
      <c r="J54" s="25" t="str">
        <f t="shared" si="1"/>
        <v/>
      </c>
      <c r="K54" s="22"/>
      <c r="L54" s="22"/>
      <c r="M54" s="25" t="str">
        <f>IF(AND(L54&gt;=ref!$L$2,L54&lt;=ref!$M$2),ref!$K$2,IF(AND(L54&gt;=ref!$L$3,L54&lt;=ref!$M$3),ref!$K$3,IF(AND(L54&gt;=ref!$L$4,L54&lt;=ref!$M$4),ref!$K$4,IF(AND(L54&gt;=ref!$L$5,L54&lt;=ref!$M$5),ref!$K$5,IF(AND(L54&gt;=ref!$L$6,L54&lt;=ref!$M$6),ref!$K$6,IF(AND(L54&gt;=ref!$L$7,L54&lt;=ref!$M$7),ref!$K$7,IF(AND(L54&gt;=ref!$L$8,L54&lt;=ref!$M$8),ref!$K$8,IF(AND(L54&gt;=ref!$L$9,L54&lt;=ref!$M$9),ref!$K$9,IF(AND(L54&gt;=ref!$L$11,L54&lt;=ref!$M$11),ref!$K$11,IF(AND(L54&gt;=ref!$L$12,L54&lt;=ref!$M$12),ref!$K$12,""))))))))))</f>
        <v/>
      </c>
      <c r="N54" s="22"/>
      <c r="O54" s="16"/>
      <c r="P54" s="22"/>
      <c r="Q54" s="27"/>
      <c r="R54" s="22"/>
      <c r="S54" s="22"/>
      <c r="T54" s="16"/>
      <c r="U54" s="16"/>
      <c r="V54" s="16"/>
      <c r="W54" s="16"/>
      <c r="X54" s="16"/>
      <c r="Y54" s="16"/>
      <c r="Z54" s="16"/>
      <c r="AA54" s="16"/>
      <c r="AB54" s="22"/>
    </row>
    <row r="55" spans="1:28" x14ac:dyDescent="0.3">
      <c r="A55" s="22"/>
      <c r="B55" s="22"/>
      <c r="C55" s="22"/>
      <c r="D55" s="22"/>
      <c r="E55" s="22"/>
      <c r="F55" s="22"/>
      <c r="G55" s="22"/>
      <c r="H55" s="22"/>
      <c r="I55" s="24" t="str">
        <f t="shared" si="0"/>
        <v/>
      </c>
      <c r="J55" s="25" t="str">
        <f t="shared" si="1"/>
        <v/>
      </c>
      <c r="K55" s="22"/>
      <c r="L55" s="22"/>
      <c r="M55" s="25" t="str">
        <f>IF(AND(L55&gt;=ref!$L$2,L55&lt;=ref!$M$2),ref!$K$2,IF(AND(L55&gt;=ref!$L$3,L55&lt;=ref!$M$3),ref!$K$3,IF(AND(L55&gt;=ref!$L$4,L55&lt;=ref!$M$4),ref!$K$4,IF(AND(L55&gt;=ref!$L$5,L55&lt;=ref!$M$5),ref!$K$5,IF(AND(L55&gt;=ref!$L$6,L55&lt;=ref!$M$6),ref!$K$6,IF(AND(L55&gt;=ref!$L$7,L55&lt;=ref!$M$7),ref!$K$7,IF(AND(L55&gt;=ref!$L$8,L55&lt;=ref!$M$8),ref!$K$8,IF(AND(L55&gt;=ref!$L$9,L55&lt;=ref!$M$9),ref!$K$9,IF(AND(L55&gt;=ref!$L$11,L55&lt;=ref!$M$11),ref!$K$11,IF(AND(L55&gt;=ref!$L$12,L55&lt;=ref!$M$12),ref!$K$12,""))))))))))</f>
        <v/>
      </c>
      <c r="N55" s="22"/>
      <c r="O55" s="16"/>
      <c r="P55" s="22"/>
      <c r="Q55" s="27"/>
      <c r="R55" s="22"/>
      <c r="S55" s="22"/>
      <c r="T55" s="16"/>
      <c r="U55" s="16"/>
      <c r="V55" s="16"/>
      <c r="W55" s="16"/>
      <c r="X55" s="16"/>
      <c r="Y55" s="16"/>
      <c r="Z55" s="16"/>
      <c r="AA55" s="16"/>
      <c r="AB55" s="22"/>
    </row>
    <row r="56" spans="1:28" x14ac:dyDescent="0.3">
      <c r="A56" s="22"/>
      <c r="B56" s="22"/>
      <c r="C56" s="22"/>
      <c r="D56" s="22"/>
      <c r="E56" s="22"/>
      <c r="F56" s="22"/>
      <c r="G56" s="22"/>
      <c r="H56" s="22"/>
      <c r="I56" s="24" t="str">
        <f t="shared" si="0"/>
        <v/>
      </c>
      <c r="J56" s="25" t="str">
        <f t="shared" si="1"/>
        <v/>
      </c>
      <c r="K56" s="22"/>
      <c r="L56" s="22"/>
      <c r="M56" s="25" t="str">
        <f>IF(AND(L56&gt;=ref!$L$2,L56&lt;=ref!$M$2),ref!$K$2,IF(AND(L56&gt;=ref!$L$3,L56&lt;=ref!$M$3),ref!$K$3,IF(AND(L56&gt;=ref!$L$4,L56&lt;=ref!$M$4),ref!$K$4,IF(AND(L56&gt;=ref!$L$5,L56&lt;=ref!$M$5),ref!$K$5,IF(AND(L56&gt;=ref!$L$6,L56&lt;=ref!$M$6),ref!$K$6,IF(AND(L56&gt;=ref!$L$7,L56&lt;=ref!$M$7),ref!$K$7,IF(AND(L56&gt;=ref!$L$8,L56&lt;=ref!$M$8),ref!$K$8,IF(AND(L56&gt;=ref!$L$9,L56&lt;=ref!$M$9),ref!$K$9,IF(AND(L56&gt;=ref!$L$11,L56&lt;=ref!$M$11),ref!$K$11,IF(AND(L56&gt;=ref!$L$12,L56&lt;=ref!$M$12),ref!$K$12,""))))))))))</f>
        <v/>
      </c>
      <c r="N56" s="22"/>
      <c r="O56" s="16"/>
      <c r="P56" s="22"/>
      <c r="Q56" s="27"/>
      <c r="R56" s="22"/>
      <c r="S56" s="22"/>
      <c r="T56" s="16"/>
      <c r="U56" s="16"/>
      <c r="V56" s="16"/>
      <c r="W56" s="16"/>
      <c r="X56" s="16"/>
      <c r="Y56" s="16"/>
      <c r="Z56" s="16"/>
      <c r="AA56" s="16"/>
      <c r="AB56" s="22"/>
    </row>
    <row r="57" spans="1:28" x14ac:dyDescent="0.3">
      <c r="A57" s="22"/>
      <c r="B57" s="22"/>
      <c r="C57" s="22"/>
      <c r="D57" s="22"/>
      <c r="E57" s="22"/>
      <c r="F57" s="22"/>
      <c r="G57" s="22"/>
      <c r="H57" s="22"/>
      <c r="I57" s="24" t="str">
        <f t="shared" si="0"/>
        <v/>
      </c>
      <c r="J57" s="25" t="str">
        <f t="shared" si="1"/>
        <v/>
      </c>
      <c r="K57" s="22"/>
      <c r="L57" s="22"/>
      <c r="M57" s="25" t="str">
        <f>IF(AND(L57&gt;=ref!$L$2,L57&lt;=ref!$M$2),ref!$K$2,IF(AND(L57&gt;=ref!$L$3,L57&lt;=ref!$M$3),ref!$K$3,IF(AND(L57&gt;=ref!$L$4,L57&lt;=ref!$M$4),ref!$K$4,IF(AND(L57&gt;=ref!$L$5,L57&lt;=ref!$M$5),ref!$K$5,IF(AND(L57&gt;=ref!$L$6,L57&lt;=ref!$M$6),ref!$K$6,IF(AND(L57&gt;=ref!$L$7,L57&lt;=ref!$M$7),ref!$K$7,IF(AND(L57&gt;=ref!$L$8,L57&lt;=ref!$M$8),ref!$K$8,IF(AND(L57&gt;=ref!$L$9,L57&lt;=ref!$M$9),ref!$K$9,IF(AND(L57&gt;=ref!$L$11,L57&lt;=ref!$M$11),ref!$K$11,IF(AND(L57&gt;=ref!$L$12,L57&lt;=ref!$M$12),ref!$K$12,""))))))))))</f>
        <v/>
      </c>
      <c r="N57" s="22"/>
      <c r="O57" s="16"/>
      <c r="P57" s="22"/>
      <c r="Q57" s="27"/>
      <c r="R57" s="22"/>
      <c r="S57" s="22"/>
      <c r="T57" s="16"/>
      <c r="U57" s="16"/>
      <c r="V57" s="16"/>
      <c r="W57" s="16"/>
      <c r="X57" s="16"/>
      <c r="Y57" s="16"/>
      <c r="Z57" s="16"/>
      <c r="AA57" s="16"/>
      <c r="AB57" s="22"/>
    </row>
    <row r="58" spans="1:28" x14ac:dyDescent="0.3">
      <c r="A58" s="22"/>
      <c r="B58" s="22"/>
      <c r="C58" s="22"/>
      <c r="D58" s="22"/>
      <c r="E58" s="22"/>
      <c r="F58" s="22"/>
      <c r="G58" s="22"/>
      <c r="H58" s="22"/>
      <c r="I58" s="24" t="str">
        <f t="shared" si="0"/>
        <v/>
      </c>
      <c r="J58" s="25" t="str">
        <f t="shared" si="1"/>
        <v/>
      </c>
      <c r="K58" s="22"/>
      <c r="L58" s="22"/>
      <c r="M58" s="25" t="str">
        <f>IF(AND(L58&gt;=ref!$L$2,L58&lt;=ref!$M$2),ref!$K$2,IF(AND(L58&gt;=ref!$L$3,L58&lt;=ref!$M$3),ref!$K$3,IF(AND(L58&gt;=ref!$L$4,L58&lt;=ref!$M$4),ref!$K$4,IF(AND(L58&gt;=ref!$L$5,L58&lt;=ref!$M$5),ref!$K$5,IF(AND(L58&gt;=ref!$L$6,L58&lt;=ref!$M$6),ref!$K$6,IF(AND(L58&gt;=ref!$L$7,L58&lt;=ref!$M$7),ref!$K$7,IF(AND(L58&gt;=ref!$L$8,L58&lt;=ref!$M$8),ref!$K$8,IF(AND(L58&gt;=ref!$L$9,L58&lt;=ref!$M$9),ref!$K$9,IF(AND(L58&gt;=ref!$L$11,L58&lt;=ref!$M$11),ref!$K$11,IF(AND(L58&gt;=ref!$L$12,L58&lt;=ref!$M$12),ref!$K$12,""))))))))))</f>
        <v/>
      </c>
      <c r="N58" s="22"/>
      <c r="O58" s="16"/>
      <c r="P58" s="22"/>
      <c r="Q58" s="27"/>
      <c r="R58" s="22"/>
      <c r="S58" s="22"/>
      <c r="T58" s="16"/>
      <c r="U58" s="16"/>
      <c r="V58" s="16"/>
      <c r="W58" s="16"/>
      <c r="X58" s="16"/>
      <c r="Y58" s="16"/>
      <c r="Z58" s="16"/>
      <c r="AA58" s="16"/>
      <c r="AB58" s="22"/>
    </row>
    <row r="59" spans="1:28" x14ac:dyDescent="0.3">
      <c r="A59" s="22"/>
      <c r="B59" s="22"/>
      <c r="C59" s="22"/>
      <c r="D59" s="22"/>
      <c r="E59" s="22"/>
      <c r="F59" s="22"/>
      <c r="G59" s="22"/>
      <c r="H59" s="22"/>
      <c r="I59" s="24" t="str">
        <f t="shared" si="0"/>
        <v/>
      </c>
      <c r="J59" s="25" t="str">
        <f t="shared" si="1"/>
        <v/>
      </c>
      <c r="K59" s="22"/>
      <c r="L59" s="22"/>
      <c r="M59" s="25" t="str">
        <f>IF(AND(L59&gt;=ref!$L$2,L59&lt;=ref!$M$2),ref!$K$2,IF(AND(L59&gt;=ref!$L$3,L59&lt;=ref!$M$3),ref!$K$3,IF(AND(L59&gt;=ref!$L$4,L59&lt;=ref!$M$4),ref!$K$4,IF(AND(L59&gt;=ref!$L$5,L59&lt;=ref!$M$5),ref!$K$5,IF(AND(L59&gt;=ref!$L$6,L59&lt;=ref!$M$6),ref!$K$6,IF(AND(L59&gt;=ref!$L$7,L59&lt;=ref!$M$7),ref!$K$7,IF(AND(L59&gt;=ref!$L$8,L59&lt;=ref!$M$8),ref!$K$8,IF(AND(L59&gt;=ref!$L$9,L59&lt;=ref!$M$9),ref!$K$9,IF(AND(L59&gt;=ref!$L$11,L59&lt;=ref!$M$11),ref!$K$11,IF(AND(L59&gt;=ref!$L$12,L59&lt;=ref!$M$12),ref!$K$12,""))))))))))</f>
        <v/>
      </c>
      <c r="N59" s="22"/>
      <c r="O59" s="16"/>
      <c r="P59" s="22"/>
      <c r="Q59" s="27"/>
      <c r="R59" s="22"/>
      <c r="S59" s="22"/>
      <c r="T59" s="16"/>
      <c r="U59" s="16"/>
      <c r="V59" s="16"/>
      <c r="W59" s="16"/>
      <c r="X59" s="16"/>
      <c r="Y59" s="16"/>
      <c r="Z59" s="16"/>
      <c r="AA59" s="16"/>
      <c r="AB59" s="22"/>
    </row>
    <row r="60" spans="1:28" x14ac:dyDescent="0.3">
      <c r="A60" s="22"/>
      <c r="B60" s="22"/>
      <c r="C60" s="22"/>
      <c r="D60" s="22"/>
      <c r="E60" s="22"/>
      <c r="F60" s="22"/>
      <c r="G60" s="22"/>
      <c r="H60" s="22"/>
      <c r="I60" s="24" t="str">
        <f t="shared" si="0"/>
        <v/>
      </c>
      <c r="J60" s="25" t="str">
        <f t="shared" si="1"/>
        <v/>
      </c>
      <c r="K60" s="22"/>
      <c r="L60" s="22"/>
      <c r="M60" s="25" t="str">
        <f>IF(AND(L60&gt;=ref!$L$2,L60&lt;=ref!$M$2),ref!$K$2,IF(AND(L60&gt;=ref!$L$3,L60&lt;=ref!$M$3),ref!$K$3,IF(AND(L60&gt;=ref!$L$4,L60&lt;=ref!$M$4),ref!$K$4,IF(AND(L60&gt;=ref!$L$5,L60&lt;=ref!$M$5),ref!$K$5,IF(AND(L60&gt;=ref!$L$6,L60&lt;=ref!$M$6),ref!$K$6,IF(AND(L60&gt;=ref!$L$7,L60&lt;=ref!$M$7),ref!$K$7,IF(AND(L60&gt;=ref!$L$8,L60&lt;=ref!$M$8),ref!$K$8,IF(AND(L60&gt;=ref!$L$9,L60&lt;=ref!$M$9),ref!$K$9,IF(AND(L60&gt;=ref!$L$11,L60&lt;=ref!$M$11),ref!$K$11,IF(AND(L60&gt;=ref!$L$12,L60&lt;=ref!$M$12),ref!$K$12,""))))))))))</f>
        <v/>
      </c>
      <c r="N60" s="22"/>
      <c r="O60" s="16"/>
      <c r="P60" s="22"/>
      <c r="Q60" s="27"/>
      <c r="R60" s="22"/>
      <c r="S60" s="22"/>
      <c r="T60" s="16"/>
      <c r="U60" s="16"/>
      <c r="V60" s="16"/>
      <c r="W60" s="16"/>
      <c r="X60" s="16"/>
      <c r="Y60" s="16"/>
      <c r="Z60" s="16"/>
      <c r="AA60" s="16"/>
      <c r="AB60" s="22"/>
    </row>
    <row r="61" spans="1:28" x14ac:dyDescent="0.3">
      <c r="A61" s="22"/>
      <c r="B61" s="22"/>
      <c r="C61" s="22"/>
      <c r="D61" s="22"/>
      <c r="E61" s="22"/>
      <c r="F61" s="22"/>
      <c r="G61" s="22"/>
      <c r="H61" s="22"/>
      <c r="I61" s="24" t="str">
        <f t="shared" si="0"/>
        <v/>
      </c>
      <c r="J61" s="25" t="str">
        <f t="shared" si="1"/>
        <v/>
      </c>
      <c r="K61" s="22"/>
      <c r="L61" s="22"/>
      <c r="M61" s="25" t="str">
        <f>IF(AND(L61&gt;=ref!$L$2,L61&lt;=ref!$M$2),ref!$K$2,IF(AND(L61&gt;=ref!$L$3,L61&lt;=ref!$M$3),ref!$K$3,IF(AND(L61&gt;=ref!$L$4,L61&lt;=ref!$M$4),ref!$K$4,IF(AND(L61&gt;=ref!$L$5,L61&lt;=ref!$M$5),ref!$K$5,IF(AND(L61&gt;=ref!$L$6,L61&lt;=ref!$M$6),ref!$K$6,IF(AND(L61&gt;=ref!$L$7,L61&lt;=ref!$M$7),ref!$K$7,IF(AND(L61&gt;=ref!$L$8,L61&lt;=ref!$M$8),ref!$K$8,IF(AND(L61&gt;=ref!$L$9,L61&lt;=ref!$M$9),ref!$K$9,IF(AND(L61&gt;=ref!$L$11,L61&lt;=ref!$M$11),ref!$K$11,IF(AND(L61&gt;=ref!$L$12,L61&lt;=ref!$M$12),ref!$K$12,""))))))))))</f>
        <v/>
      </c>
      <c r="N61" s="22"/>
      <c r="O61" s="16"/>
      <c r="P61" s="22"/>
      <c r="Q61" s="27"/>
      <c r="R61" s="22"/>
      <c r="S61" s="22"/>
      <c r="T61" s="16"/>
      <c r="U61" s="16"/>
      <c r="V61" s="16"/>
      <c r="W61" s="16"/>
      <c r="X61" s="16"/>
      <c r="Y61" s="16"/>
      <c r="Z61" s="16"/>
      <c r="AA61" s="16"/>
      <c r="AB61" s="22"/>
    </row>
    <row r="62" spans="1:28" x14ac:dyDescent="0.3">
      <c r="A62" s="22"/>
      <c r="B62" s="22"/>
      <c r="C62" s="22"/>
      <c r="D62" s="22"/>
      <c r="E62" s="22"/>
      <c r="F62" s="22"/>
      <c r="G62" s="22"/>
      <c r="H62" s="22"/>
      <c r="I62" s="24" t="str">
        <f t="shared" si="0"/>
        <v/>
      </c>
      <c r="J62" s="25" t="str">
        <f t="shared" si="1"/>
        <v/>
      </c>
      <c r="K62" s="22"/>
      <c r="L62" s="22"/>
      <c r="M62" s="25" t="str">
        <f>IF(AND(L62&gt;=ref!$L$2,L62&lt;=ref!$M$2),ref!$K$2,IF(AND(L62&gt;=ref!$L$3,L62&lt;=ref!$M$3),ref!$K$3,IF(AND(L62&gt;=ref!$L$4,L62&lt;=ref!$M$4),ref!$K$4,IF(AND(L62&gt;=ref!$L$5,L62&lt;=ref!$M$5),ref!$K$5,IF(AND(L62&gt;=ref!$L$6,L62&lt;=ref!$M$6),ref!$K$6,IF(AND(L62&gt;=ref!$L$7,L62&lt;=ref!$M$7),ref!$K$7,IF(AND(L62&gt;=ref!$L$8,L62&lt;=ref!$M$8),ref!$K$8,IF(AND(L62&gt;=ref!$L$9,L62&lt;=ref!$M$9),ref!$K$9,IF(AND(L62&gt;=ref!$L$11,L62&lt;=ref!$M$11),ref!$K$11,IF(AND(L62&gt;=ref!$L$12,L62&lt;=ref!$M$12),ref!$K$12,""))))))))))</f>
        <v/>
      </c>
      <c r="N62" s="22"/>
      <c r="O62" s="16"/>
      <c r="P62" s="22"/>
      <c r="Q62" s="27"/>
      <c r="R62" s="22"/>
      <c r="S62" s="22"/>
      <c r="T62" s="16"/>
      <c r="U62" s="16"/>
      <c r="V62" s="16"/>
      <c r="W62" s="16"/>
      <c r="X62" s="16"/>
      <c r="Y62" s="16"/>
      <c r="Z62" s="16"/>
      <c r="AA62" s="16"/>
      <c r="AB62" s="22"/>
    </row>
    <row r="63" spans="1:28" x14ac:dyDescent="0.3">
      <c r="A63" s="22"/>
      <c r="B63" s="22"/>
      <c r="C63" s="22"/>
      <c r="D63" s="22"/>
      <c r="E63" s="22"/>
      <c r="F63" s="22"/>
      <c r="G63" s="22"/>
      <c r="H63" s="22"/>
      <c r="I63" s="24" t="str">
        <f t="shared" si="0"/>
        <v/>
      </c>
      <c r="J63" s="25" t="str">
        <f t="shared" si="1"/>
        <v/>
      </c>
      <c r="K63" s="22"/>
      <c r="L63" s="22"/>
      <c r="M63" s="25" t="str">
        <f>IF(AND(L63&gt;=ref!$L$2,L63&lt;=ref!$M$2),ref!$K$2,IF(AND(L63&gt;=ref!$L$3,L63&lt;=ref!$M$3),ref!$K$3,IF(AND(L63&gt;=ref!$L$4,L63&lt;=ref!$M$4),ref!$K$4,IF(AND(L63&gt;=ref!$L$5,L63&lt;=ref!$M$5),ref!$K$5,IF(AND(L63&gt;=ref!$L$6,L63&lt;=ref!$M$6),ref!$K$6,IF(AND(L63&gt;=ref!$L$7,L63&lt;=ref!$M$7),ref!$K$7,IF(AND(L63&gt;=ref!$L$8,L63&lt;=ref!$M$8),ref!$K$8,IF(AND(L63&gt;=ref!$L$9,L63&lt;=ref!$M$9),ref!$K$9,IF(AND(L63&gt;=ref!$L$11,L63&lt;=ref!$M$11),ref!$K$11,IF(AND(L63&gt;=ref!$L$12,L63&lt;=ref!$M$12),ref!$K$12,""))))))))))</f>
        <v/>
      </c>
      <c r="N63" s="22"/>
      <c r="O63" s="16"/>
      <c r="P63" s="22"/>
      <c r="Q63" s="27"/>
      <c r="R63" s="22"/>
      <c r="S63" s="22"/>
      <c r="T63" s="16"/>
      <c r="U63" s="16"/>
      <c r="V63" s="16"/>
      <c r="W63" s="16"/>
      <c r="X63" s="16"/>
      <c r="Y63" s="16"/>
      <c r="Z63" s="16"/>
      <c r="AA63" s="16"/>
      <c r="AB63" s="22"/>
    </row>
    <row r="64" spans="1:28" x14ac:dyDescent="0.3">
      <c r="A64" s="22"/>
      <c r="B64" s="22"/>
      <c r="C64" s="22"/>
      <c r="D64" s="22"/>
      <c r="E64" s="22"/>
      <c r="F64" s="22"/>
      <c r="G64" s="22"/>
      <c r="H64" s="22"/>
      <c r="I64" s="24" t="str">
        <f t="shared" si="0"/>
        <v/>
      </c>
      <c r="J64" s="25" t="str">
        <f t="shared" si="1"/>
        <v/>
      </c>
      <c r="K64" s="22"/>
      <c r="L64" s="22"/>
      <c r="M64" s="25" t="str">
        <f>IF(AND(L64&gt;=ref!$L$2,L64&lt;=ref!$M$2),ref!$K$2,IF(AND(L64&gt;=ref!$L$3,L64&lt;=ref!$M$3),ref!$K$3,IF(AND(L64&gt;=ref!$L$4,L64&lt;=ref!$M$4),ref!$K$4,IF(AND(L64&gt;=ref!$L$5,L64&lt;=ref!$M$5),ref!$K$5,IF(AND(L64&gt;=ref!$L$6,L64&lt;=ref!$M$6),ref!$K$6,IF(AND(L64&gt;=ref!$L$7,L64&lt;=ref!$M$7),ref!$K$7,IF(AND(L64&gt;=ref!$L$8,L64&lt;=ref!$M$8),ref!$K$8,IF(AND(L64&gt;=ref!$L$9,L64&lt;=ref!$M$9),ref!$K$9,IF(AND(L64&gt;=ref!$L$11,L64&lt;=ref!$M$11),ref!$K$11,IF(AND(L64&gt;=ref!$L$12,L64&lt;=ref!$M$12),ref!$K$12,""))))))))))</f>
        <v/>
      </c>
      <c r="N64" s="22"/>
      <c r="O64" s="16"/>
      <c r="P64" s="22"/>
      <c r="Q64" s="27"/>
      <c r="R64" s="22"/>
      <c r="S64" s="22"/>
      <c r="T64" s="16"/>
      <c r="U64" s="16"/>
      <c r="V64" s="16"/>
      <c r="W64" s="16"/>
      <c r="X64" s="16"/>
      <c r="Y64" s="16"/>
      <c r="Z64" s="16"/>
      <c r="AA64" s="16"/>
      <c r="AB64" s="22"/>
    </row>
    <row r="65" spans="1:28" x14ac:dyDescent="0.3">
      <c r="A65" s="22"/>
      <c r="B65" s="22"/>
      <c r="C65" s="22"/>
      <c r="D65" s="22"/>
      <c r="E65" s="22"/>
      <c r="F65" s="22"/>
      <c r="G65" s="22"/>
      <c r="H65" s="22"/>
      <c r="I65" s="24" t="str">
        <f t="shared" si="0"/>
        <v/>
      </c>
      <c r="J65" s="25" t="str">
        <f t="shared" si="1"/>
        <v/>
      </c>
      <c r="K65" s="22"/>
      <c r="L65" s="22"/>
      <c r="M65" s="25" t="str">
        <f>IF(AND(L65&gt;=ref!$L$2,L65&lt;=ref!$M$2),ref!$K$2,IF(AND(L65&gt;=ref!$L$3,L65&lt;=ref!$M$3),ref!$K$3,IF(AND(L65&gt;=ref!$L$4,L65&lt;=ref!$M$4),ref!$K$4,IF(AND(L65&gt;=ref!$L$5,L65&lt;=ref!$M$5),ref!$K$5,IF(AND(L65&gt;=ref!$L$6,L65&lt;=ref!$M$6),ref!$K$6,IF(AND(L65&gt;=ref!$L$7,L65&lt;=ref!$M$7),ref!$K$7,IF(AND(L65&gt;=ref!$L$8,L65&lt;=ref!$M$8),ref!$K$8,IF(AND(L65&gt;=ref!$L$9,L65&lt;=ref!$M$9),ref!$K$9,IF(AND(L65&gt;=ref!$L$11,L65&lt;=ref!$M$11),ref!$K$11,IF(AND(L65&gt;=ref!$L$12,L65&lt;=ref!$M$12),ref!$K$12,""))))))))))</f>
        <v/>
      </c>
      <c r="N65" s="22"/>
      <c r="O65" s="16"/>
      <c r="P65" s="22"/>
      <c r="Q65" s="27"/>
      <c r="R65" s="22"/>
      <c r="S65" s="22"/>
      <c r="T65" s="16"/>
      <c r="U65" s="16"/>
      <c r="V65" s="16"/>
      <c r="W65" s="16"/>
      <c r="X65" s="16"/>
      <c r="Y65" s="16"/>
      <c r="Z65" s="16"/>
      <c r="AA65" s="16"/>
      <c r="AB65" s="22"/>
    </row>
    <row r="66" spans="1:28" x14ac:dyDescent="0.3">
      <c r="A66" s="22"/>
      <c r="B66" s="22"/>
      <c r="C66" s="22"/>
      <c r="D66" s="22"/>
      <c r="E66" s="22"/>
      <c r="F66" s="22"/>
      <c r="G66" s="22"/>
      <c r="H66" s="22"/>
      <c r="I66" s="24" t="str">
        <f t="shared" si="0"/>
        <v/>
      </c>
      <c r="J66" s="25" t="str">
        <f t="shared" si="1"/>
        <v/>
      </c>
      <c r="K66" s="22"/>
      <c r="L66" s="22"/>
      <c r="M66" s="25" t="str">
        <f>IF(AND(L66&gt;=ref!$L$2,L66&lt;=ref!$M$2),ref!$K$2,IF(AND(L66&gt;=ref!$L$3,L66&lt;=ref!$M$3),ref!$K$3,IF(AND(L66&gt;=ref!$L$4,L66&lt;=ref!$M$4),ref!$K$4,IF(AND(L66&gt;=ref!$L$5,L66&lt;=ref!$M$5),ref!$K$5,IF(AND(L66&gt;=ref!$L$6,L66&lt;=ref!$M$6),ref!$K$6,IF(AND(L66&gt;=ref!$L$7,L66&lt;=ref!$M$7),ref!$K$7,IF(AND(L66&gt;=ref!$L$8,L66&lt;=ref!$M$8),ref!$K$8,IF(AND(L66&gt;=ref!$L$9,L66&lt;=ref!$M$9),ref!$K$9,IF(AND(L66&gt;=ref!$L$11,L66&lt;=ref!$M$11),ref!$K$11,IF(AND(L66&gt;=ref!$L$12,L66&lt;=ref!$M$12),ref!$K$12,""))))))))))</f>
        <v/>
      </c>
      <c r="N66" s="22"/>
      <c r="O66" s="16"/>
      <c r="P66" s="22"/>
      <c r="Q66" s="27"/>
      <c r="R66" s="22"/>
      <c r="S66" s="22"/>
      <c r="T66" s="16"/>
      <c r="U66" s="16"/>
      <c r="V66" s="16"/>
      <c r="W66" s="16"/>
      <c r="X66" s="16"/>
      <c r="Y66" s="16"/>
      <c r="Z66" s="16"/>
      <c r="AA66" s="16"/>
      <c r="AB66" s="22"/>
    </row>
    <row r="67" spans="1:28" x14ac:dyDescent="0.3">
      <c r="A67" s="22"/>
      <c r="B67" s="22"/>
      <c r="C67" s="22"/>
      <c r="D67" s="22"/>
      <c r="E67" s="22"/>
      <c r="F67" s="22"/>
      <c r="G67" s="22"/>
      <c r="H67" s="22"/>
      <c r="I67" s="24" t="str">
        <f t="shared" si="0"/>
        <v/>
      </c>
      <c r="J67" s="25" t="str">
        <f t="shared" si="1"/>
        <v/>
      </c>
      <c r="K67" s="22"/>
      <c r="L67" s="22"/>
      <c r="M67" s="25" t="str">
        <f>IF(AND(L67&gt;=ref!$L$2,L67&lt;=ref!$M$2),ref!$K$2,IF(AND(L67&gt;=ref!$L$3,L67&lt;=ref!$M$3),ref!$K$3,IF(AND(L67&gt;=ref!$L$4,L67&lt;=ref!$M$4),ref!$K$4,IF(AND(L67&gt;=ref!$L$5,L67&lt;=ref!$M$5),ref!$K$5,IF(AND(L67&gt;=ref!$L$6,L67&lt;=ref!$M$6),ref!$K$6,IF(AND(L67&gt;=ref!$L$7,L67&lt;=ref!$M$7),ref!$K$7,IF(AND(L67&gt;=ref!$L$8,L67&lt;=ref!$M$8),ref!$K$8,IF(AND(L67&gt;=ref!$L$9,L67&lt;=ref!$M$9),ref!$K$9,IF(AND(L67&gt;=ref!$L$11,L67&lt;=ref!$M$11),ref!$K$11,IF(AND(L67&gt;=ref!$L$12,L67&lt;=ref!$M$12),ref!$K$12,""))))))))))</f>
        <v/>
      </c>
      <c r="N67" s="22"/>
      <c r="O67" s="16"/>
      <c r="P67" s="22"/>
      <c r="Q67" s="27"/>
      <c r="R67" s="22"/>
      <c r="S67" s="22"/>
      <c r="T67" s="16"/>
      <c r="U67" s="16"/>
      <c r="V67" s="16"/>
      <c r="W67" s="16"/>
      <c r="X67" s="16"/>
      <c r="Y67" s="16"/>
      <c r="Z67" s="16"/>
      <c r="AA67" s="16"/>
      <c r="AB67" s="22"/>
    </row>
    <row r="68" spans="1:28" x14ac:dyDescent="0.3">
      <c r="A68" s="22"/>
      <c r="B68" s="22"/>
      <c r="C68" s="22"/>
      <c r="D68" s="22"/>
      <c r="E68" s="22"/>
      <c r="F68" s="22"/>
      <c r="G68" s="22"/>
      <c r="H68" s="22"/>
      <c r="I68" s="24" t="str">
        <f t="shared" si="0"/>
        <v/>
      </c>
      <c r="J68" s="25" t="str">
        <f t="shared" si="1"/>
        <v/>
      </c>
      <c r="K68" s="22"/>
      <c r="L68" s="22"/>
      <c r="M68" s="25" t="str">
        <f>IF(AND(L68&gt;=ref!$L$2,L68&lt;=ref!$M$2),ref!$K$2,IF(AND(L68&gt;=ref!$L$3,L68&lt;=ref!$M$3),ref!$K$3,IF(AND(L68&gt;=ref!$L$4,L68&lt;=ref!$M$4),ref!$K$4,IF(AND(L68&gt;=ref!$L$5,L68&lt;=ref!$M$5),ref!$K$5,IF(AND(L68&gt;=ref!$L$6,L68&lt;=ref!$M$6),ref!$K$6,IF(AND(L68&gt;=ref!$L$7,L68&lt;=ref!$M$7),ref!$K$7,IF(AND(L68&gt;=ref!$L$8,L68&lt;=ref!$M$8),ref!$K$8,IF(AND(L68&gt;=ref!$L$9,L68&lt;=ref!$M$9),ref!$K$9,IF(AND(L68&gt;=ref!$L$11,L68&lt;=ref!$M$11),ref!$K$11,IF(AND(L68&gt;=ref!$L$12,L68&lt;=ref!$M$12),ref!$K$12,""))))))))))</f>
        <v/>
      </c>
      <c r="N68" s="22"/>
      <c r="O68" s="16"/>
      <c r="P68" s="22"/>
      <c r="Q68" s="27"/>
      <c r="R68" s="22"/>
      <c r="S68" s="22"/>
      <c r="T68" s="16"/>
      <c r="U68" s="16"/>
      <c r="V68" s="16"/>
      <c r="W68" s="16"/>
      <c r="X68" s="16"/>
      <c r="Y68" s="16"/>
      <c r="Z68" s="16"/>
      <c r="AA68" s="16"/>
      <c r="AB68" s="22"/>
    </row>
    <row r="69" spans="1:28" x14ac:dyDescent="0.3">
      <c r="A69" s="22"/>
      <c r="B69" s="22"/>
      <c r="C69" s="22"/>
      <c r="D69" s="22"/>
      <c r="E69" s="22"/>
      <c r="F69" s="22"/>
      <c r="G69" s="22"/>
      <c r="H69" s="22"/>
      <c r="I69" s="24" t="str">
        <f t="shared" si="0"/>
        <v/>
      </c>
      <c r="J69" s="25" t="str">
        <f t="shared" si="1"/>
        <v/>
      </c>
      <c r="K69" s="22"/>
      <c r="L69" s="22"/>
      <c r="M69" s="25" t="str">
        <f>IF(AND(L69&gt;=ref!$L$2,L69&lt;=ref!$M$2),ref!$K$2,IF(AND(L69&gt;=ref!$L$3,L69&lt;=ref!$M$3),ref!$K$3,IF(AND(L69&gt;=ref!$L$4,L69&lt;=ref!$M$4),ref!$K$4,IF(AND(L69&gt;=ref!$L$5,L69&lt;=ref!$M$5),ref!$K$5,IF(AND(L69&gt;=ref!$L$6,L69&lt;=ref!$M$6),ref!$K$6,IF(AND(L69&gt;=ref!$L$7,L69&lt;=ref!$M$7),ref!$K$7,IF(AND(L69&gt;=ref!$L$8,L69&lt;=ref!$M$8),ref!$K$8,IF(AND(L69&gt;=ref!$L$9,L69&lt;=ref!$M$9),ref!$K$9,IF(AND(L69&gt;=ref!$L$11,L69&lt;=ref!$M$11),ref!$K$11,IF(AND(L69&gt;=ref!$L$12,L69&lt;=ref!$M$12),ref!$K$12,""))))))))))</f>
        <v/>
      </c>
      <c r="N69" s="22"/>
      <c r="O69" s="16"/>
      <c r="P69" s="22"/>
      <c r="Q69" s="27"/>
      <c r="R69" s="22"/>
      <c r="S69" s="22"/>
      <c r="T69" s="16"/>
      <c r="U69" s="16"/>
      <c r="V69" s="16"/>
      <c r="W69" s="16"/>
      <c r="X69" s="16"/>
      <c r="Y69" s="16"/>
      <c r="Z69" s="16"/>
      <c r="AA69" s="16"/>
      <c r="AB69" s="22"/>
    </row>
    <row r="70" spans="1:28" x14ac:dyDescent="0.3">
      <c r="A70" s="22"/>
      <c r="B70" s="22"/>
      <c r="C70" s="22"/>
      <c r="D70" s="22"/>
      <c r="E70" s="22"/>
      <c r="F70" s="22"/>
      <c r="G70" s="22"/>
      <c r="H70" s="22"/>
      <c r="I70" s="24" t="str">
        <f t="shared" si="0"/>
        <v/>
      </c>
      <c r="J70" s="25" t="str">
        <f t="shared" si="1"/>
        <v/>
      </c>
      <c r="K70" s="22"/>
      <c r="L70" s="22"/>
      <c r="M70" s="25" t="str">
        <f>IF(AND(L70&gt;=ref!$L$2,L70&lt;=ref!$M$2),ref!$K$2,IF(AND(L70&gt;=ref!$L$3,L70&lt;=ref!$M$3),ref!$K$3,IF(AND(L70&gt;=ref!$L$4,L70&lt;=ref!$M$4),ref!$K$4,IF(AND(L70&gt;=ref!$L$5,L70&lt;=ref!$M$5),ref!$K$5,IF(AND(L70&gt;=ref!$L$6,L70&lt;=ref!$M$6),ref!$K$6,IF(AND(L70&gt;=ref!$L$7,L70&lt;=ref!$M$7),ref!$K$7,IF(AND(L70&gt;=ref!$L$8,L70&lt;=ref!$M$8),ref!$K$8,IF(AND(L70&gt;=ref!$L$9,L70&lt;=ref!$M$9),ref!$K$9,IF(AND(L70&gt;=ref!$L$11,L70&lt;=ref!$M$11),ref!$K$11,IF(AND(L70&gt;=ref!$L$12,L70&lt;=ref!$M$12),ref!$K$12,""))))))))))</f>
        <v/>
      </c>
      <c r="N70" s="22"/>
      <c r="O70" s="16"/>
      <c r="P70" s="22"/>
      <c r="Q70" s="27"/>
      <c r="R70" s="22"/>
      <c r="S70" s="22"/>
      <c r="T70" s="16"/>
      <c r="U70" s="16"/>
      <c r="V70" s="16"/>
      <c r="W70" s="16"/>
      <c r="X70" s="16"/>
      <c r="Y70" s="16"/>
      <c r="Z70" s="16"/>
      <c r="AA70" s="16"/>
      <c r="AB70" s="22"/>
    </row>
    <row r="71" spans="1:28" x14ac:dyDescent="0.3">
      <c r="A71" s="22"/>
      <c r="B71" s="22"/>
      <c r="C71" s="22"/>
      <c r="D71" s="22"/>
      <c r="E71" s="22"/>
      <c r="F71" s="22"/>
      <c r="G71" s="22"/>
      <c r="H71" s="22"/>
      <c r="I71" s="24" t="str">
        <f t="shared" ref="I71:I134" si="2">IF(H71="","",IF(H71-D71&lt;=30,"Yes","No"))</f>
        <v/>
      </c>
      <c r="J71" s="25" t="str">
        <f t="shared" ref="J71:J134" si="3">IF(H71&lt;&gt;"",TEXT(H71,"ddd"),"")</f>
        <v/>
      </c>
      <c r="K71" s="22"/>
      <c r="L71" s="22"/>
      <c r="M71" s="25" t="str">
        <f>IF(AND(L71&gt;=ref!$L$2,L71&lt;=ref!$M$2),ref!$K$2,IF(AND(L71&gt;=ref!$L$3,L71&lt;=ref!$M$3),ref!$K$3,IF(AND(L71&gt;=ref!$L$4,L71&lt;=ref!$M$4),ref!$K$4,IF(AND(L71&gt;=ref!$L$5,L71&lt;=ref!$M$5),ref!$K$5,IF(AND(L71&gt;=ref!$L$6,L71&lt;=ref!$M$6),ref!$K$6,IF(AND(L71&gt;=ref!$L$7,L71&lt;=ref!$M$7),ref!$K$7,IF(AND(L71&gt;=ref!$L$8,L71&lt;=ref!$M$8),ref!$K$8,IF(AND(L71&gt;=ref!$L$9,L71&lt;=ref!$M$9),ref!$K$9,IF(AND(L71&gt;=ref!$L$11,L71&lt;=ref!$M$11),ref!$K$11,IF(AND(L71&gt;=ref!$L$12,L71&lt;=ref!$M$12),ref!$K$12,""))))))))))</f>
        <v/>
      </c>
      <c r="N71" s="22"/>
      <c r="O71" s="16"/>
      <c r="P71" s="22"/>
      <c r="Q71" s="27"/>
      <c r="R71" s="22"/>
      <c r="S71" s="22"/>
      <c r="T71" s="16"/>
      <c r="U71" s="16"/>
      <c r="V71" s="16"/>
      <c r="W71" s="16"/>
      <c r="X71" s="16"/>
      <c r="Y71" s="16"/>
      <c r="Z71" s="16"/>
      <c r="AA71" s="16"/>
      <c r="AB71" s="22"/>
    </row>
    <row r="72" spans="1:28" x14ac:dyDescent="0.3">
      <c r="A72" s="22"/>
      <c r="B72" s="22"/>
      <c r="C72" s="22"/>
      <c r="D72" s="22"/>
      <c r="E72" s="22"/>
      <c r="F72" s="22"/>
      <c r="G72" s="22"/>
      <c r="H72" s="22"/>
      <c r="I72" s="24" t="str">
        <f t="shared" si="2"/>
        <v/>
      </c>
      <c r="J72" s="25" t="str">
        <f t="shared" si="3"/>
        <v/>
      </c>
      <c r="K72" s="22"/>
      <c r="L72" s="22"/>
      <c r="M72" s="25" t="str">
        <f>IF(AND(L72&gt;=ref!$L$2,L72&lt;=ref!$M$2),ref!$K$2,IF(AND(L72&gt;=ref!$L$3,L72&lt;=ref!$M$3),ref!$K$3,IF(AND(L72&gt;=ref!$L$4,L72&lt;=ref!$M$4),ref!$K$4,IF(AND(L72&gt;=ref!$L$5,L72&lt;=ref!$M$5),ref!$K$5,IF(AND(L72&gt;=ref!$L$6,L72&lt;=ref!$M$6),ref!$K$6,IF(AND(L72&gt;=ref!$L$7,L72&lt;=ref!$M$7),ref!$K$7,IF(AND(L72&gt;=ref!$L$8,L72&lt;=ref!$M$8),ref!$K$8,IF(AND(L72&gt;=ref!$L$9,L72&lt;=ref!$M$9),ref!$K$9,IF(AND(L72&gt;=ref!$L$11,L72&lt;=ref!$M$11),ref!$K$11,IF(AND(L72&gt;=ref!$L$12,L72&lt;=ref!$M$12),ref!$K$12,""))))))))))</f>
        <v/>
      </c>
      <c r="N72" s="22"/>
      <c r="O72" s="16"/>
      <c r="P72" s="22"/>
      <c r="Q72" s="27"/>
      <c r="R72" s="22"/>
      <c r="S72" s="22"/>
      <c r="T72" s="16"/>
      <c r="U72" s="16"/>
      <c r="V72" s="16"/>
      <c r="W72" s="16"/>
      <c r="X72" s="16"/>
      <c r="Y72" s="16"/>
      <c r="Z72" s="16"/>
      <c r="AA72" s="16"/>
      <c r="AB72" s="22"/>
    </row>
    <row r="73" spans="1:28" x14ac:dyDescent="0.3">
      <c r="A73" s="22"/>
      <c r="B73" s="22"/>
      <c r="C73" s="22"/>
      <c r="D73" s="22"/>
      <c r="E73" s="22"/>
      <c r="F73" s="22"/>
      <c r="G73" s="22"/>
      <c r="H73" s="22"/>
      <c r="I73" s="24" t="str">
        <f t="shared" si="2"/>
        <v/>
      </c>
      <c r="J73" s="25" t="str">
        <f t="shared" si="3"/>
        <v/>
      </c>
      <c r="K73" s="22"/>
      <c r="L73" s="22"/>
      <c r="M73" s="25" t="str">
        <f>IF(AND(L73&gt;=ref!$L$2,L73&lt;=ref!$M$2),ref!$K$2,IF(AND(L73&gt;=ref!$L$3,L73&lt;=ref!$M$3),ref!$K$3,IF(AND(L73&gt;=ref!$L$4,L73&lt;=ref!$M$4),ref!$K$4,IF(AND(L73&gt;=ref!$L$5,L73&lt;=ref!$M$5),ref!$K$5,IF(AND(L73&gt;=ref!$L$6,L73&lt;=ref!$M$6),ref!$K$6,IF(AND(L73&gt;=ref!$L$7,L73&lt;=ref!$M$7),ref!$K$7,IF(AND(L73&gt;=ref!$L$8,L73&lt;=ref!$M$8),ref!$K$8,IF(AND(L73&gt;=ref!$L$9,L73&lt;=ref!$M$9),ref!$K$9,IF(AND(L73&gt;=ref!$L$11,L73&lt;=ref!$M$11),ref!$K$11,IF(AND(L73&gt;=ref!$L$12,L73&lt;=ref!$M$12),ref!$K$12,""))))))))))</f>
        <v/>
      </c>
      <c r="N73" s="22"/>
      <c r="O73" s="16"/>
      <c r="P73" s="22"/>
      <c r="Q73" s="27"/>
      <c r="R73" s="22"/>
      <c r="S73" s="22"/>
      <c r="T73" s="16"/>
      <c r="U73" s="16"/>
      <c r="V73" s="16"/>
      <c r="W73" s="16"/>
      <c r="X73" s="16"/>
      <c r="Y73" s="16"/>
      <c r="Z73" s="16"/>
      <c r="AA73" s="16"/>
      <c r="AB73" s="22"/>
    </row>
    <row r="74" spans="1:28" x14ac:dyDescent="0.3">
      <c r="A74" s="22"/>
      <c r="B74" s="22"/>
      <c r="C74" s="22"/>
      <c r="D74" s="22"/>
      <c r="E74" s="22"/>
      <c r="F74" s="22"/>
      <c r="G74" s="22"/>
      <c r="H74" s="22"/>
      <c r="I74" s="24" t="str">
        <f t="shared" si="2"/>
        <v/>
      </c>
      <c r="J74" s="25" t="str">
        <f t="shared" si="3"/>
        <v/>
      </c>
      <c r="K74" s="22"/>
      <c r="L74" s="22"/>
      <c r="M74" s="25" t="str">
        <f>IF(AND(L74&gt;=ref!$L$2,L74&lt;=ref!$M$2),ref!$K$2,IF(AND(L74&gt;=ref!$L$3,L74&lt;=ref!$M$3),ref!$K$3,IF(AND(L74&gt;=ref!$L$4,L74&lt;=ref!$M$4),ref!$K$4,IF(AND(L74&gt;=ref!$L$5,L74&lt;=ref!$M$5),ref!$K$5,IF(AND(L74&gt;=ref!$L$6,L74&lt;=ref!$M$6),ref!$K$6,IF(AND(L74&gt;=ref!$L$7,L74&lt;=ref!$M$7),ref!$K$7,IF(AND(L74&gt;=ref!$L$8,L74&lt;=ref!$M$8),ref!$K$8,IF(AND(L74&gt;=ref!$L$9,L74&lt;=ref!$M$9),ref!$K$9,IF(AND(L74&gt;=ref!$L$11,L74&lt;=ref!$M$11),ref!$K$11,IF(AND(L74&gt;=ref!$L$12,L74&lt;=ref!$M$12),ref!$K$12,""))))))))))</f>
        <v/>
      </c>
      <c r="N74" s="22"/>
      <c r="O74" s="16"/>
      <c r="P74" s="22"/>
      <c r="Q74" s="27"/>
      <c r="R74" s="22"/>
      <c r="S74" s="22"/>
      <c r="T74" s="16"/>
      <c r="U74" s="16"/>
      <c r="V74" s="16"/>
      <c r="W74" s="16"/>
      <c r="X74" s="16"/>
      <c r="Y74" s="16"/>
      <c r="Z74" s="16"/>
      <c r="AA74" s="16"/>
      <c r="AB74" s="22"/>
    </row>
    <row r="75" spans="1:28" x14ac:dyDescent="0.3">
      <c r="A75" s="22"/>
      <c r="B75" s="22"/>
      <c r="C75" s="22"/>
      <c r="D75" s="22"/>
      <c r="E75" s="22"/>
      <c r="F75" s="22"/>
      <c r="G75" s="22"/>
      <c r="H75" s="22"/>
      <c r="I75" s="24" t="str">
        <f t="shared" si="2"/>
        <v/>
      </c>
      <c r="J75" s="25" t="str">
        <f t="shared" si="3"/>
        <v/>
      </c>
      <c r="K75" s="22"/>
      <c r="L75" s="22"/>
      <c r="M75" s="25" t="str">
        <f>IF(AND(L75&gt;=ref!$L$2,L75&lt;=ref!$M$2),ref!$K$2,IF(AND(L75&gt;=ref!$L$3,L75&lt;=ref!$M$3),ref!$K$3,IF(AND(L75&gt;=ref!$L$4,L75&lt;=ref!$M$4),ref!$K$4,IF(AND(L75&gt;=ref!$L$5,L75&lt;=ref!$M$5),ref!$K$5,IF(AND(L75&gt;=ref!$L$6,L75&lt;=ref!$M$6),ref!$K$6,IF(AND(L75&gt;=ref!$L$7,L75&lt;=ref!$M$7),ref!$K$7,IF(AND(L75&gt;=ref!$L$8,L75&lt;=ref!$M$8),ref!$K$8,IF(AND(L75&gt;=ref!$L$9,L75&lt;=ref!$M$9),ref!$K$9,IF(AND(L75&gt;=ref!$L$11,L75&lt;=ref!$M$11),ref!$K$11,IF(AND(L75&gt;=ref!$L$12,L75&lt;=ref!$M$12),ref!$K$12,""))))))))))</f>
        <v/>
      </c>
      <c r="N75" s="22"/>
      <c r="O75" s="16"/>
      <c r="P75" s="22"/>
      <c r="Q75" s="27"/>
      <c r="R75" s="22"/>
      <c r="S75" s="22"/>
      <c r="T75" s="16"/>
      <c r="U75" s="16"/>
      <c r="V75" s="16"/>
      <c r="W75" s="16"/>
      <c r="X75" s="16"/>
      <c r="Y75" s="16"/>
      <c r="Z75" s="16"/>
      <c r="AA75" s="16"/>
      <c r="AB75" s="22"/>
    </row>
    <row r="76" spans="1:28" x14ac:dyDescent="0.3">
      <c r="A76" s="22"/>
      <c r="B76" s="22"/>
      <c r="C76" s="22"/>
      <c r="D76" s="22"/>
      <c r="E76" s="22"/>
      <c r="F76" s="22"/>
      <c r="G76" s="22"/>
      <c r="H76" s="22"/>
      <c r="I76" s="24" t="str">
        <f t="shared" si="2"/>
        <v/>
      </c>
      <c r="J76" s="25" t="str">
        <f t="shared" si="3"/>
        <v/>
      </c>
      <c r="K76" s="22"/>
      <c r="L76" s="22"/>
      <c r="M76" s="25" t="str">
        <f>IF(AND(L76&gt;=ref!$L$2,L76&lt;=ref!$M$2),ref!$K$2,IF(AND(L76&gt;=ref!$L$3,L76&lt;=ref!$M$3),ref!$K$3,IF(AND(L76&gt;=ref!$L$4,L76&lt;=ref!$M$4),ref!$K$4,IF(AND(L76&gt;=ref!$L$5,L76&lt;=ref!$M$5),ref!$K$5,IF(AND(L76&gt;=ref!$L$6,L76&lt;=ref!$M$6),ref!$K$6,IF(AND(L76&gt;=ref!$L$7,L76&lt;=ref!$M$7),ref!$K$7,IF(AND(L76&gt;=ref!$L$8,L76&lt;=ref!$M$8),ref!$K$8,IF(AND(L76&gt;=ref!$L$9,L76&lt;=ref!$M$9),ref!$K$9,IF(AND(L76&gt;=ref!$L$11,L76&lt;=ref!$M$11),ref!$K$11,IF(AND(L76&gt;=ref!$L$12,L76&lt;=ref!$M$12),ref!$K$12,""))))))))))</f>
        <v/>
      </c>
      <c r="N76" s="22"/>
      <c r="O76" s="16"/>
      <c r="P76" s="22"/>
      <c r="Q76" s="27"/>
      <c r="R76" s="22"/>
      <c r="S76" s="22"/>
      <c r="T76" s="16"/>
      <c r="U76" s="16"/>
      <c r="V76" s="16"/>
      <c r="W76" s="16"/>
      <c r="X76" s="16"/>
      <c r="Y76" s="16"/>
      <c r="Z76" s="16"/>
      <c r="AA76" s="16"/>
      <c r="AB76" s="22"/>
    </row>
    <row r="77" spans="1:28" x14ac:dyDescent="0.3">
      <c r="A77" s="22"/>
      <c r="B77" s="22"/>
      <c r="C77" s="22"/>
      <c r="D77" s="22"/>
      <c r="E77" s="22"/>
      <c r="F77" s="22"/>
      <c r="G77" s="22"/>
      <c r="H77" s="22"/>
      <c r="I77" s="24" t="str">
        <f t="shared" si="2"/>
        <v/>
      </c>
      <c r="J77" s="25" t="str">
        <f t="shared" si="3"/>
        <v/>
      </c>
      <c r="K77" s="22"/>
      <c r="L77" s="22"/>
      <c r="M77" s="25" t="str">
        <f>IF(AND(L77&gt;=ref!$L$2,L77&lt;=ref!$M$2),ref!$K$2,IF(AND(L77&gt;=ref!$L$3,L77&lt;=ref!$M$3),ref!$K$3,IF(AND(L77&gt;=ref!$L$4,L77&lt;=ref!$M$4),ref!$K$4,IF(AND(L77&gt;=ref!$L$5,L77&lt;=ref!$M$5),ref!$K$5,IF(AND(L77&gt;=ref!$L$6,L77&lt;=ref!$M$6),ref!$K$6,IF(AND(L77&gt;=ref!$L$7,L77&lt;=ref!$M$7),ref!$K$7,IF(AND(L77&gt;=ref!$L$8,L77&lt;=ref!$M$8),ref!$K$8,IF(AND(L77&gt;=ref!$L$9,L77&lt;=ref!$M$9),ref!$K$9,IF(AND(L77&gt;=ref!$L$11,L77&lt;=ref!$M$11),ref!$K$11,IF(AND(L77&gt;=ref!$L$12,L77&lt;=ref!$M$12),ref!$K$12,""))))))))))</f>
        <v/>
      </c>
      <c r="N77" s="22"/>
      <c r="O77" s="16"/>
      <c r="P77" s="22"/>
      <c r="Q77" s="27"/>
      <c r="R77" s="22"/>
      <c r="S77" s="22"/>
      <c r="T77" s="16"/>
      <c r="U77" s="16"/>
      <c r="V77" s="16"/>
      <c r="W77" s="16"/>
      <c r="X77" s="16"/>
      <c r="Y77" s="16"/>
      <c r="Z77" s="16"/>
      <c r="AA77" s="16"/>
      <c r="AB77" s="22"/>
    </row>
    <row r="78" spans="1:28" x14ac:dyDescent="0.3">
      <c r="A78" s="22"/>
      <c r="B78" s="22"/>
      <c r="C78" s="22"/>
      <c r="D78" s="22"/>
      <c r="E78" s="22"/>
      <c r="F78" s="22"/>
      <c r="G78" s="22"/>
      <c r="H78" s="22"/>
      <c r="I78" s="24" t="str">
        <f t="shared" si="2"/>
        <v/>
      </c>
      <c r="J78" s="25" t="str">
        <f t="shared" si="3"/>
        <v/>
      </c>
      <c r="K78" s="22"/>
      <c r="L78" s="22"/>
      <c r="M78" s="25" t="str">
        <f>IF(AND(L78&gt;=ref!$L$2,L78&lt;=ref!$M$2),ref!$K$2,IF(AND(L78&gt;=ref!$L$3,L78&lt;=ref!$M$3),ref!$K$3,IF(AND(L78&gt;=ref!$L$4,L78&lt;=ref!$M$4),ref!$K$4,IF(AND(L78&gt;=ref!$L$5,L78&lt;=ref!$M$5),ref!$K$5,IF(AND(L78&gt;=ref!$L$6,L78&lt;=ref!$M$6),ref!$K$6,IF(AND(L78&gt;=ref!$L$7,L78&lt;=ref!$M$7),ref!$K$7,IF(AND(L78&gt;=ref!$L$8,L78&lt;=ref!$M$8),ref!$K$8,IF(AND(L78&gt;=ref!$L$9,L78&lt;=ref!$M$9),ref!$K$9,IF(AND(L78&gt;=ref!$L$11,L78&lt;=ref!$M$11),ref!$K$11,IF(AND(L78&gt;=ref!$L$12,L78&lt;=ref!$M$12),ref!$K$12,""))))))))))</f>
        <v/>
      </c>
      <c r="N78" s="22"/>
      <c r="O78" s="16"/>
      <c r="P78" s="22"/>
      <c r="Q78" s="27"/>
      <c r="R78" s="22"/>
      <c r="S78" s="22"/>
      <c r="T78" s="16"/>
      <c r="U78" s="16"/>
      <c r="V78" s="16"/>
      <c r="W78" s="16"/>
      <c r="X78" s="16"/>
      <c r="Y78" s="16"/>
      <c r="Z78" s="16"/>
      <c r="AA78" s="16"/>
      <c r="AB78" s="22"/>
    </row>
    <row r="79" spans="1:28" x14ac:dyDescent="0.3">
      <c r="A79" s="22"/>
      <c r="B79" s="22"/>
      <c r="C79" s="22"/>
      <c r="D79" s="22"/>
      <c r="E79" s="22"/>
      <c r="F79" s="22"/>
      <c r="G79" s="22"/>
      <c r="H79" s="22"/>
      <c r="I79" s="24" t="str">
        <f t="shared" si="2"/>
        <v/>
      </c>
      <c r="J79" s="25" t="str">
        <f t="shared" si="3"/>
        <v/>
      </c>
      <c r="K79" s="22"/>
      <c r="L79" s="22"/>
      <c r="M79" s="25" t="str">
        <f>IF(AND(L79&gt;=ref!$L$2,L79&lt;=ref!$M$2),ref!$K$2,IF(AND(L79&gt;=ref!$L$3,L79&lt;=ref!$M$3),ref!$K$3,IF(AND(L79&gt;=ref!$L$4,L79&lt;=ref!$M$4),ref!$K$4,IF(AND(L79&gt;=ref!$L$5,L79&lt;=ref!$M$5),ref!$K$5,IF(AND(L79&gt;=ref!$L$6,L79&lt;=ref!$M$6),ref!$K$6,IF(AND(L79&gt;=ref!$L$7,L79&lt;=ref!$M$7),ref!$K$7,IF(AND(L79&gt;=ref!$L$8,L79&lt;=ref!$M$8),ref!$K$8,IF(AND(L79&gt;=ref!$L$9,L79&lt;=ref!$M$9),ref!$K$9,IF(AND(L79&gt;=ref!$L$11,L79&lt;=ref!$M$11),ref!$K$11,IF(AND(L79&gt;=ref!$L$12,L79&lt;=ref!$M$12),ref!$K$12,""))))))))))</f>
        <v/>
      </c>
      <c r="N79" s="22"/>
      <c r="O79" s="16"/>
      <c r="P79" s="22"/>
      <c r="Q79" s="27"/>
      <c r="R79" s="22"/>
      <c r="S79" s="22"/>
      <c r="T79" s="16"/>
      <c r="U79" s="16"/>
      <c r="V79" s="16"/>
      <c r="W79" s="16"/>
      <c r="X79" s="16"/>
      <c r="Y79" s="16"/>
      <c r="Z79" s="16"/>
      <c r="AA79" s="16"/>
      <c r="AB79" s="22"/>
    </row>
    <row r="80" spans="1:28" x14ac:dyDescent="0.3">
      <c r="A80" s="22"/>
      <c r="B80" s="22"/>
      <c r="C80" s="22"/>
      <c r="D80" s="22"/>
      <c r="E80" s="22"/>
      <c r="F80" s="22"/>
      <c r="G80" s="22"/>
      <c r="H80" s="22"/>
      <c r="I80" s="24" t="str">
        <f t="shared" si="2"/>
        <v/>
      </c>
      <c r="J80" s="25" t="str">
        <f t="shared" si="3"/>
        <v/>
      </c>
      <c r="K80" s="22"/>
      <c r="L80" s="22"/>
      <c r="M80" s="25" t="str">
        <f>IF(AND(L80&gt;=ref!$L$2,L80&lt;=ref!$M$2),ref!$K$2,IF(AND(L80&gt;=ref!$L$3,L80&lt;=ref!$M$3),ref!$K$3,IF(AND(L80&gt;=ref!$L$4,L80&lt;=ref!$M$4),ref!$K$4,IF(AND(L80&gt;=ref!$L$5,L80&lt;=ref!$M$5),ref!$K$5,IF(AND(L80&gt;=ref!$L$6,L80&lt;=ref!$M$6),ref!$K$6,IF(AND(L80&gt;=ref!$L$7,L80&lt;=ref!$M$7),ref!$K$7,IF(AND(L80&gt;=ref!$L$8,L80&lt;=ref!$M$8),ref!$K$8,IF(AND(L80&gt;=ref!$L$9,L80&lt;=ref!$M$9),ref!$K$9,IF(AND(L80&gt;=ref!$L$11,L80&lt;=ref!$M$11),ref!$K$11,IF(AND(L80&gt;=ref!$L$12,L80&lt;=ref!$M$12),ref!$K$12,""))))))))))</f>
        <v/>
      </c>
      <c r="N80" s="22"/>
      <c r="O80" s="16"/>
      <c r="P80" s="22"/>
      <c r="Q80" s="27"/>
      <c r="R80" s="22"/>
      <c r="S80" s="22"/>
      <c r="T80" s="16"/>
      <c r="U80" s="16"/>
      <c r="V80" s="16"/>
      <c r="W80" s="16"/>
      <c r="X80" s="16"/>
      <c r="Y80" s="16"/>
      <c r="Z80" s="16"/>
      <c r="AA80" s="16"/>
      <c r="AB80" s="22"/>
    </row>
    <row r="81" spans="1:28" x14ac:dyDescent="0.3">
      <c r="A81" s="22"/>
      <c r="B81" s="22"/>
      <c r="C81" s="22"/>
      <c r="D81" s="22"/>
      <c r="E81" s="22"/>
      <c r="F81" s="22"/>
      <c r="G81" s="22"/>
      <c r="H81" s="22"/>
      <c r="I81" s="24" t="str">
        <f t="shared" si="2"/>
        <v/>
      </c>
      <c r="J81" s="25" t="str">
        <f t="shared" si="3"/>
        <v/>
      </c>
      <c r="K81" s="22"/>
      <c r="L81" s="22"/>
      <c r="M81" s="25" t="str">
        <f>IF(AND(L81&gt;=ref!$L$2,L81&lt;=ref!$M$2),ref!$K$2,IF(AND(L81&gt;=ref!$L$3,L81&lt;=ref!$M$3),ref!$K$3,IF(AND(L81&gt;=ref!$L$4,L81&lt;=ref!$M$4),ref!$K$4,IF(AND(L81&gt;=ref!$L$5,L81&lt;=ref!$M$5),ref!$K$5,IF(AND(L81&gt;=ref!$L$6,L81&lt;=ref!$M$6),ref!$K$6,IF(AND(L81&gt;=ref!$L$7,L81&lt;=ref!$M$7),ref!$K$7,IF(AND(L81&gt;=ref!$L$8,L81&lt;=ref!$M$8),ref!$K$8,IF(AND(L81&gt;=ref!$L$9,L81&lt;=ref!$M$9),ref!$K$9,IF(AND(L81&gt;=ref!$L$11,L81&lt;=ref!$M$11),ref!$K$11,IF(AND(L81&gt;=ref!$L$12,L81&lt;=ref!$M$12),ref!$K$12,""))))))))))</f>
        <v/>
      </c>
      <c r="N81" s="22"/>
      <c r="O81" s="16"/>
      <c r="P81" s="22"/>
      <c r="Q81" s="27"/>
      <c r="R81" s="22"/>
      <c r="S81" s="22"/>
      <c r="T81" s="16"/>
      <c r="U81" s="16"/>
      <c r="V81" s="16"/>
      <c r="W81" s="16"/>
      <c r="X81" s="16"/>
      <c r="Y81" s="16"/>
      <c r="Z81" s="16"/>
      <c r="AA81" s="16"/>
      <c r="AB81" s="22"/>
    </row>
    <row r="82" spans="1:28" x14ac:dyDescent="0.3">
      <c r="A82" s="22"/>
      <c r="B82" s="22"/>
      <c r="C82" s="22"/>
      <c r="D82" s="22"/>
      <c r="E82" s="22"/>
      <c r="F82" s="22"/>
      <c r="G82" s="22"/>
      <c r="H82" s="22"/>
      <c r="I82" s="24" t="str">
        <f t="shared" si="2"/>
        <v/>
      </c>
      <c r="J82" s="25" t="str">
        <f t="shared" si="3"/>
        <v/>
      </c>
      <c r="K82" s="22"/>
      <c r="L82" s="22"/>
      <c r="M82" s="25" t="str">
        <f>IF(AND(L82&gt;=ref!$L$2,L82&lt;=ref!$M$2),ref!$K$2,IF(AND(L82&gt;=ref!$L$3,L82&lt;=ref!$M$3),ref!$K$3,IF(AND(L82&gt;=ref!$L$4,L82&lt;=ref!$M$4),ref!$K$4,IF(AND(L82&gt;=ref!$L$5,L82&lt;=ref!$M$5),ref!$K$5,IF(AND(L82&gt;=ref!$L$6,L82&lt;=ref!$M$6),ref!$K$6,IF(AND(L82&gt;=ref!$L$7,L82&lt;=ref!$M$7),ref!$K$7,IF(AND(L82&gt;=ref!$L$8,L82&lt;=ref!$M$8),ref!$K$8,IF(AND(L82&gt;=ref!$L$9,L82&lt;=ref!$M$9),ref!$K$9,IF(AND(L82&gt;=ref!$L$11,L82&lt;=ref!$M$11),ref!$K$11,IF(AND(L82&gt;=ref!$L$12,L82&lt;=ref!$M$12),ref!$K$12,""))))))))))</f>
        <v/>
      </c>
      <c r="N82" s="22"/>
      <c r="O82" s="16"/>
      <c r="P82" s="22"/>
      <c r="Q82" s="27"/>
      <c r="R82" s="22"/>
      <c r="S82" s="22"/>
      <c r="T82" s="16"/>
      <c r="U82" s="16"/>
      <c r="V82" s="16"/>
      <c r="W82" s="16"/>
      <c r="X82" s="16"/>
      <c r="Y82" s="16"/>
      <c r="Z82" s="16"/>
      <c r="AA82" s="16"/>
      <c r="AB82" s="22"/>
    </row>
    <row r="83" spans="1:28" x14ac:dyDescent="0.3">
      <c r="A83" s="22"/>
      <c r="B83" s="22"/>
      <c r="C83" s="22"/>
      <c r="D83" s="22"/>
      <c r="E83" s="22"/>
      <c r="F83" s="22"/>
      <c r="G83" s="22"/>
      <c r="H83" s="22"/>
      <c r="I83" s="24" t="str">
        <f t="shared" si="2"/>
        <v/>
      </c>
      <c r="J83" s="25" t="str">
        <f t="shared" si="3"/>
        <v/>
      </c>
      <c r="K83" s="22"/>
      <c r="L83" s="22"/>
      <c r="M83" s="25" t="str">
        <f>IF(AND(L83&gt;=ref!$L$2,L83&lt;=ref!$M$2),ref!$K$2,IF(AND(L83&gt;=ref!$L$3,L83&lt;=ref!$M$3),ref!$K$3,IF(AND(L83&gt;=ref!$L$4,L83&lt;=ref!$M$4),ref!$K$4,IF(AND(L83&gt;=ref!$L$5,L83&lt;=ref!$M$5),ref!$K$5,IF(AND(L83&gt;=ref!$L$6,L83&lt;=ref!$M$6),ref!$K$6,IF(AND(L83&gt;=ref!$L$7,L83&lt;=ref!$M$7),ref!$K$7,IF(AND(L83&gt;=ref!$L$8,L83&lt;=ref!$M$8),ref!$K$8,IF(AND(L83&gt;=ref!$L$9,L83&lt;=ref!$M$9),ref!$K$9,IF(AND(L83&gt;=ref!$L$11,L83&lt;=ref!$M$11),ref!$K$11,IF(AND(L83&gt;=ref!$L$12,L83&lt;=ref!$M$12),ref!$K$12,""))))))))))</f>
        <v/>
      </c>
      <c r="N83" s="22"/>
      <c r="O83" s="16"/>
      <c r="P83" s="22"/>
      <c r="Q83" s="27"/>
      <c r="R83" s="22"/>
      <c r="S83" s="22"/>
      <c r="T83" s="16"/>
      <c r="U83" s="16"/>
      <c r="V83" s="16"/>
      <c r="W83" s="16"/>
      <c r="X83" s="16"/>
      <c r="Y83" s="16"/>
      <c r="Z83" s="16"/>
      <c r="AA83" s="16"/>
      <c r="AB83" s="22"/>
    </row>
    <row r="84" spans="1:28" x14ac:dyDescent="0.3">
      <c r="A84" s="22"/>
      <c r="B84" s="22"/>
      <c r="C84" s="22"/>
      <c r="D84" s="22"/>
      <c r="E84" s="22"/>
      <c r="F84" s="22"/>
      <c r="G84" s="22"/>
      <c r="H84" s="22"/>
      <c r="I84" s="24" t="str">
        <f t="shared" si="2"/>
        <v/>
      </c>
      <c r="J84" s="25" t="str">
        <f t="shared" si="3"/>
        <v/>
      </c>
      <c r="K84" s="22"/>
      <c r="L84" s="22"/>
      <c r="M84" s="25" t="str">
        <f>IF(AND(L84&gt;=ref!$L$2,L84&lt;=ref!$M$2),ref!$K$2,IF(AND(L84&gt;=ref!$L$3,L84&lt;=ref!$M$3),ref!$K$3,IF(AND(L84&gt;=ref!$L$4,L84&lt;=ref!$M$4),ref!$K$4,IF(AND(L84&gt;=ref!$L$5,L84&lt;=ref!$M$5),ref!$K$5,IF(AND(L84&gt;=ref!$L$6,L84&lt;=ref!$M$6),ref!$K$6,IF(AND(L84&gt;=ref!$L$7,L84&lt;=ref!$M$7),ref!$K$7,IF(AND(L84&gt;=ref!$L$8,L84&lt;=ref!$M$8),ref!$K$8,IF(AND(L84&gt;=ref!$L$9,L84&lt;=ref!$M$9),ref!$K$9,IF(AND(L84&gt;=ref!$L$11,L84&lt;=ref!$M$11),ref!$K$11,IF(AND(L84&gt;=ref!$L$12,L84&lt;=ref!$M$12),ref!$K$12,""))))))))))</f>
        <v/>
      </c>
      <c r="N84" s="22"/>
      <c r="O84" s="16"/>
      <c r="P84" s="22"/>
      <c r="Q84" s="27"/>
      <c r="R84" s="22"/>
      <c r="S84" s="22"/>
      <c r="T84" s="16"/>
      <c r="U84" s="16"/>
      <c r="V84" s="16"/>
      <c r="W84" s="16"/>
      <c r="X84" s="16"/>
      <c r="Y84" s="16"/>
      <c r="Z84" s="16"/>
      <c r="AA84" s="16"/>
      <c r="AB84" s="22"/>
    </row>
    <row r="85" spans="1:28" x14ac:dyDescent="0.3">
      <c r="A85" s="22"/>
      <c r="B85" s="22"/>
      <c r="C85" s="22"/>
      <c r="D85" s="22"/>
      <c r="E85" s="22"/>
      <c r="F85" s="22"/>
      <c r="G85" s="22"/>
      <c r="H85" s="22"/>
      <c r="I85" s="24" t="str">
        <f t="shared" si="2"/>
        <v/>
      </c>
      <c r="J85" s="25" t="str">
        <f t="shared" si="3"/>
        <v/>
      </c>
      <c r="K85" s="22"/>
      <c r="L85" s="22"/>
      <c r="M85" s="25" t="str">
        <f>IF(AND(L85&gt;=ref!$L$2,L85&lt;=ref!$M$2),ref!$K$2,IF(AND(L85&gt;=ref!$L$3,L85&lt;=ref!$M$3),ref!$K$3,IF(AND(L85&gt;=ref!$L$4,L85&lt;=ref!$M$4),ref!$K$4,IF(AND(L85&gt;=ref!$L$5,L85&lt;=ref!$M$5),ref!$K$5,IF(AND(L85&gt;=ref!$L$6,L85&lt;=ref!$M$6),ref!$K$6,IF(AND(L85&gt;=ref!$L$7,L85&lt;=ref!$M$7),ref!$K$7,IF(AND(L85&gt;=ref!$L$8,L85&lt;=ref!$M$8),ref!$K$8,IF(AND(L85&gt;=ref!$L$9,L85&lt;=ref!$M$9),ref!$K$9,IF(AND(L85&gt;=ref!$L$11,L85&lt;=ref!$M$11),ref!$K$11,IF(AND(L85&gt;=ref!$L$12,L85&lt;=ref!$M$12),ref!$K$12,""))))))))))</f>
        <v/>
      </c>
      <c r="N85" s="22"/>
      <c r="O85" s="16"/>
      <c r="P85" s="22"/>
      <c r="Q85" s="27"/>
      <c r="R85" s="22"/>
      <c r="S85" s="22"/>
      <c r="T85" s="16"/>
      <c r="U85" s="16"/>
      <c r="V85" s="16"/>
      <c r="W85" s="16"/>
      <c r="X85" s="16"/>
      <c r="Y85" s="16"/>
      <c r="Z85" s="16"/>
      <c r="AA85" s="16"/>
      <c r="AB85" s="22"/>
    </row>
    <row r="86" spans="1:28" x14ac:dyDescent="0.3">
      <c r="A86" s="22"/>
      <c r="B86" s="22"/>
      <c r="C86" s="22"/>
      <c r="D86" s="22"/>
      <c r="E86" s="22"/>
      <c r="F86" s="22"/>
      <c r="G86" s="22"/>
      <c r="H86" s="22"/>
      <c r="I86" s="24" t="str">
        <f t="shared" si="2"/>
        <v/>
      </c>
      <c r="J86" s="25" t="str">
        <f t="shared" si="3"/>
        <v/>
      </c>
      <c r="K86" s="22"/>
      <c r="L86" s="22"/>
      <c r="M86" s="25" t="str">
        <f>IF(AND(L86&gt;=ref!$L$2,L86&lt;=ref!$M$2),ref!$K$2,IF(AND(L86&gt;=ref!$L$3,L86&lt;=ref!$M$3),ref!$K$3,IF(AND(L86&gt;=ref!$L$4,L86&lt;=ref!$M$4),ref!$K$4,IF(AND(L86&gt;=ref!$L$5,L86&lt;=ref!$M$5),ref!$K$5,IF(AND(L86&gt;=ref!$L$6,L86&lt;=ref!$M$6),ref!$K$6,IF(AND(L86&gt;=ref!$L$7,L86&lt;=ref!$M$7),ref!$K$7,IF(AND(L86&gt;=ref!$L$8,L86&lt;=ref!$M$8),ref!$K$8,IF(AND(L86&gt;=ref!$L$9,L86&lt;=ref!$M$9),ref!$K$9,IF(AND(L86&gt;=ref!$L$11,L86&lt;=ref!$M$11),ref!$K$11,IF(AND(L86&gt;=ref!$L$12,L86&lt;=ref!$M$12),ref!$K$12,""))))))))))</f>
        <v/>
      </c>
      <c r="N86" s="22"/>
      <c r="O86" s="16"/>
      <c r="P86" s="22"/>
      <c r="Q86" s="27"/>
      <c r="R86" s="22"/>
      <c r="S86" s="22"/>
      <c r="T86" s="16"/>
      <c r="U86" s="16"/>
      <c r="V86" s="16"/>
      <c r="W86" s="16"/>
      <c r="X86" s="16"/>
      <c r="Y86" s="16"/>
      <c r="Z86" s="16"/>
      <c r="AA86" s="16"/>
      <c r="AB86" s="22"/>
    </row>
    <row r="87" spans="1:28" x14ac:dyDescent="0.3">
      <c r="A87" s="22"/>
      <c r="B87" s="22"/>
      <c r="C87" s="22"/>
      <c r="D87" s="22"/>
      <c r="E87" s="22"/>
      <c r="F87" s="22"/>
      <c r="G87" s="22"/>
      <c r="H87" s="22"/>
      <c r="I87" s="24" t="str">
        <f t="shared" si="2"/>
        <v/>
      </c>
      <c r="J87" s="25" t="str">
        <f t="shared" si="3"/>
        <v/>
      </c>
      <c r="K87" s="22"/>
      <c r="L87" s="22"/>
      <c r="M87" s="25" t="str">
        <f>IF(AND(L87&gt;=ref!$L$2,L87&lt;=ref!$M$2),ref!$K$2,IF(AND(L87&gt;=ref!$L$3,L87&lt;=ref!$M$3),ref!$K$3,IF(AND(L87&gt;=ref!$L$4,L87&lt;=ref!$M$4),ref!$K$4,IF(AND(L87&gt;=ref!$L$5,L87&lt;=ref!$M$5),ref!$K$5,IF(AND(L87&gt;=ref!$L$6,L87&lt;=ref!$M$6),ref!$K$6,IF(AND(L87&gt;=ref!$L$7,L87&lt;=ref!$M$7),ref!$K$7,IF(AND(L87&gt;=ref!$L$8,L87&lt;=ref!$M$8),ref!$K$8,IF(AND(L87&gt;=ref!$L$9,L87&lt;=ref!$M$9),ref!$K$9,IF(AND(L87&gt;=ref!$L$11,L87&lt;=ref!$M$11),ref!$K$11,IF(AND(L87&gt;=ref!$L$12,L87&lt;=ref!$M$12),ref!$K$12,""))))))))))</f>
        <v/>
      </c>
      <c r="N87" s="22"/>
      <c r="O87" s="16"/>
      <c r="P87" s="22"/>
      <c r="Q87" s="27"/>
      <c r="R87" s="22"/>
      <c r="S87" s="22"/>
      <c r="T87" s="16"/>
      <c r="U87" s="16"/>
      <c r="V87" s="16"/>
      <c r="W87" s="16"/>
      <c r="X87" s="16"/>
      <c r="Y87" s="16"/>
      <c r="Z87" s="16"/>
      <c r="AA87" s="16"/>
      <c r="AB87" s="22"/>
    </row>
    <row r="88" spans="1:28" x14ac:dyDescent="0.3">
      <c r="A88" s="22"/>
      <c r="B88" s="22"/>
      <c r="C88" s="22"/>
      <c r="D88" s="22"/>
      <c r="E88" s="22"/>
      <c r="F88" s="22"/>
      <c r="G88" s="22"/>
      <c r="H88" s="22"/>
      <c r="I88" s="24" t="str">
        <f t="shared" si="2"/>
        <v/>
      </c>
      <c r="J88" s="25" t="str">
        <f t="shared" si="3"/>
        <v/>
      </c>
      <c r="K88" s="22"/>
      <c r="L88" s="22"/>
      <c r="M88" s="25" t="str">
        <f>IF(AND(L88&gt;=ref!$L$2,L88&lt;=ref!$M$2),ref!$K$2,IF(AND(L88&gt;=ref!$L$3,L88&lt;=ref!$M$3),ref!$K$3,IF(AND(L88&gt;=ref!$L$4,L88&lt;=ref!$M$4),ref!$K$4,IF(AND(L88&gt;=ref!$L$5,L88&lt;=ref!$M$5),ref!$K$5,IF(AND(L88&gt;=ref!$L$6,L88&lt;=ref!$M$6),ref!$K$6,IF(AND(L88&gt;=ref!$L$7,L88&lt;=ref!$M$7),ref!$K$7,IF(AND(L88&gt;=ref!$L$8,L88&lt;=ref!$M$8),ref!$K$8,IF(AND(L88&gt;=ref!$L$9,L88&lt;=ref!$M$9),ref!$K$9,IF(AND(L88&gt;=ref!$L$11,L88&lt;=ref!$M$11),ref!$K$11,IF(AND(L88&gt;=ref!$L$12,L88&lt;=ref!$M$12),ref!$K$12,""))))))))))</f>
        <v/>
      </c>
      <c r="N88" s="22"/>
      <c r="O88" s="16"/>
      <c r="P88" s="22"/>
      <c r="Q88" s="27"/>
      <c r="R88" s="22"/>
      <c r="S88" s="22"/>
      <c r="T88" s="16"/>
      <c r="U88" s="16"/>
      <c r="V88" s="16"/>
      <c r="W88" s="16"/>
      <c r="X88" s="16"/>
      <c r="Y88" s="16"/>
      <c r="Z88" s="16"/>
      <c r="AA88" s="16"/>
      <c r="AB88" s="22"/>
    </row>
    <row r="89" spans="1:28" x14ac:dyDescent="0.3">
      <c r="A89" s="22"/>
      <c r="B89" s="22"/>
      <c r="C89" s="22"/>
      <c r="D89" s="22"/>
      <c r="E89" s="22"/>
      <c r="F89" s="22"/>
      <c r="G89" s="22"/>
      <c r="H89" s="22"/>
      <c r="I89" s="24" t="str">
        <f t="shared" si="2"/>
        <v/>
      </c>
      <c r="J89" s="25" t="str">
        <f t="shared" si="3"/>
        <v/>
      </c>
      <c r="K89" s="22"/>
      <c r="L89" s="22"/>
      <c r="M89" s="25" t="str">
        <f>IF(AND(L89&gt;=ref!$L$2,L89&lt;=ref!$M$2),ref!$K$2,IF(AND(L89&gt;=ref!$L$3,L89&lt;=ref!$M$3),ref!$K$3,IF(AND(L89&gt;=ref!$L$4,L89&lt;=ref!$M$4),ref!$K$4,IF(AND(L89&gt;=ref!$L$5,L89&lt;=ref!$M$5),ref!$K$5,IF(AND(L89&gt;=ref!$L$6,L89&lt;=ref!$M$6),ref!$K$6,IF(AND(L89&gt;=ref!$L$7,L89&lt;=ref!$M$7),ref!$K$7,IF(AND(L89&gt;=ref!$L$8,L89&lt;=ref!$M$8),ref!$K$8,IF(AND(L89&gt;=ref!$L$9,L89&lt;=ref!$M$9),ref!$K$9,IF(AND(L89&gt;=ref!$L$11,L89&lt;=ref!$M$11),ref!$K$11,IF(AND(L89&gt;=ref!$L$12,L89&lt;=ref!$M$12),ref!$K$12,""))))))))))</f>
        <v/>
      </c>
      <c r="N89" s="22"/>
      <c r="O89" s="16"/>
      <c r="P89" s="22"/>
      <c r="Q89" s="27"/>
      <c r="R89" s="22"/>
      <c r="S89" s="22"/>
      <c r="T89" s="16"/>
      <c r="U89" s="16"/>
      <c r="V89" s="16"/>
      <c r="W89" s="16"/>
      <c r="X89" s="16"/>
      <c r="Y89" s="16"/>
      <c r="Z89" s="16"/>
      <c r="AA89" s="16"/>
      <c r="AB89" s="22"/>
    </row>
    <row r="90" spans="1:28" x14ac:dyDescent="0.3">
      <c r="A90" s="22"/>
      <c r="B90" s="22"/>
      <c r="C90" s="22"/>
      <c r="D90" s="22"/>
      <c r="E90" s="22"/>
      <c r="F90" s="22"/>
      <c r="G90" s="22"/>
      <c r="H90" s="22"/>
      <c r="I90" s="24" t="str">
        <f t="shared" si="2"/>
        <v/>
      </c>
      <c r="J90" s="25" t="str">
        <f t="shared" si="3"/>
        <v/>
      </c>
      <c r="K90" s="22"/>
      <c r="L90" s="22"/>
      <c r="M90" s="25" t="str">
        <f>IF(AND(L90&gt;=ref!$L$2,L90&lt;=ref!$M$2),ref!$K$2,IF(AND(L90&gt;=ref!$L$3,L90&lt;=ref!$M$3),ref!$K$3,IF(AND(L90&gt;=ref!$L$4,L90&lt;=ref!$M$4),ref!$K$4,IF(AND(L90&gt;=ref!$L$5,L90&lt;=ref!$M$5),ref!$K$5,IF(AND(L90&gt;=ref!$L$6,L90&lt;=ref!$M$6),ref!$K$6,IF(AND(L90&gt;=ref!$L$7,L90&lt;=ref!$M$7),ref!$K$7,IF(AND(L90&gt;=ref!$L$8,L90&lt;=ref!$M$8),ref!$K$8,IF(AND(L90&gt;=ref!$L$9,L90&lt;=ref!$M$9),ref!$K$9,IF(AND(L90&gt;=ref!$L$11,L90&lt;=ref!$M$11),ref!$K$11,IF(AND(L90&gt;=ref!$L$12,L90&lt;=ref!$M$12),ref!$K$12,""))))))))))</f>
        <v/>
      </c>
      <c r="N90" s="22"/>
      <c r="O90" s="16"/>
      <c r="P90" s="22"/>
      <c r="Q90" s="27"/>
      <c r="R90" s="22"/>
      <c r="S90" s="22"/>
      <c r="T90" s="16"/>
      <c r="U90" s="16"/>
      <c r="V90" s="16"/>
      <c r="W90" s="16"/>
      <c r="X90" s="16"/>
      <c r="Y90" s="16"/>
      <c r="Z90" s="16"/>
      <c r="AA90" s="16"/>
      <c r="AB90" s="22"/>
    </row>
    <row r="91" spans="1:28" x14ac:dyDescent="0.3">
      <c r="A91" s="22"/>
      <c r="B91" s="22"/>
      <c r="C91" s="22"/>
      <c r="D91" s="22"/>
      <c r="E91" s="22"/>
      <c r="F91" s="22"/>
      <c r="G91" s="22"/>
      <c r="H91" s="22"/>
      <c r="I91" s="24" t="str">
        <f t="shared" si="2"/>
        <v/>
      </c>
      <c r="J91" s="25" t="str">
        <f t="shared" si="3"/>
        <v/>
      </c>
      <c r="K91" s="22"/>
      <c r="L91" s="22"/>
      <c r="M91" s="25" t="str">
        <f>IF(AND(L91&gt;=ref!$L$2,L91&lt;=ref!$M$2),ref!$K$2,IF(AND(L91&gt;=ref!$L$3,L91&lt;=ref!$M$3),ref!$K$3,IF(AND(L91&gt;=ref!$L$4,L91&lt;=ref!$M$4),ref!$K$4,IF(AND(L91&gt;=ref!$L$5,L91&lt;=ref!$M$5),ref!$K$5,IF(AND(L91&gt;=ref!$L$6,L91&lt;=ref!$M$6),ref!$K$6,IF(AND(L91&gt;=ref!$L$7,L91&lt;=ref!$M$7),ref!$K$7,IF(AND(L91&gt;=ref!$L$8,L91&lt;=ref!$M$8),ref!$K$8,IF(AND(L91&gt;=ref!$L$9,L91&lt;=ref!$M$9),ref!$K$9,IF(AND(L91&gt;=ref!$L$11,L91&lt;=ref!$M$11),ref!$K$11,IF(AND(L91&gt;=ref!$L$12,L91&lt;=ref!$M$12),ref!$K$12,""))))))))))</f>
        <v/>
      </c>
      <c r="N91" s="22"/>
      <c r="O91" s="16"/>
      <c r="P91" s="22"/>
      <c r="Q91" s="27"/>
      <c r="R91" s="22"/>
      <c r="S91" s="22"/>
      <c r="T91" s="16"/>
      <c r="U91" s="16"/>
      <c r="V91" s="16"/>
      <c r="W91" s="16"/>
      <c r="X91" s="16"/>
      <c r="Y91" s="16"/>
      <c r="Z91" s="16"/>
      <c r="AA91" s="16"/>
      <c r="AB91" s="22"/>
    </row>
    <row r="92" spans="1:28" x14ac:dyDescent="0.3">
      <c r="A92" s="22"/>
      <c r="B92" s="22"/>
      <c r="C92" s="22"/>
      <c r="D92" s="22"/>
      <c r="E92" s="22"/>
      <c r="F92" s="22"/>
      <c r="G92" s="22"/>
      <c r="H92" s="22"/>
      <c r="I92" s="24" t="str">
        <f t="shared" si="2"/>
        <v/>
      </c>
      <c r="J92" s="25" t="str">
        <f t="shared" si="3"/>
        <v/>
      </c>
      <c r="K92" s="22"/>
      <c r="L92" s="22"/>
      <c r="M92" s="25" t="str">
        <f>IF(AND(L92&gt;=ref!$L$2,L92&lt;=ref!$M$2),ref!$K$2,IF(AND(L92&gt;=ref!$L$3,L92&lt;=ref!$M$3),ref!$K$3,IF(AND(L92&gt;=ref!$L$4,L92&lt;=ref!$M$4),ref!$K$4,IF(AND(L92&gt;=ref!$L$5,L92&lt;=ref!$M$5),ref!$K$5,IF(AND(L92&gt;=ref!$L$6,L92&lt;=ref!$M$6),ref!$K$6,IF(AND(L92&gt;=ref!$L$7,L92&lt;=ref!$M$7),ref!$K$7,IF(AND(L92&gt;=ref!$L$8,L92&lt;=ref!$M$8),ref!$K$8,IF(AND(L92&gt;=ref!$L$9,L92&lt;=ref!$M$9),ref!$K$9,IF(AND(L92&gt;=ref!$L$11,L92&lt;=ref!$M$11),ref!$K$11,IF(AND(L92&gt;=ref!$L$12,L92&lt;=ref!$M$12),ref!$K$12,""))))))))))</f>
        <v/>
      </c>
      <c r="N92" s="22"/>
      <c r="O92" s="16"/>
      <c r="P92" s="22"/>
      <c r="Q92" s="27"/>
      <c r="R92" s="22"/>
      <c r="S92" s="22"/>
      <c r="T92" s="16"/>
      <c r="U92" s="16"/>
      <c r="V92" s="16"/>
      <c r="W92" s="16"/>
      <c r="X92" s="16"/>
      <c r="Y92" s="16"/>
      <c r="Z92" s="16"/>
      <c r="AA92" s="16"/>
      <c r="AB92" s="22"/>
    </row>
    <row r="93" spans="1:28" x14ac:dyDescent="0.3">
      <c r="A93" s="22"/>
      <c r="B93" s="22"/>
      <c r="C93" s="22"/>
      <c r="D93" s="22"/>
      <c r="E93" s="22"/>
      <c r="F93" s="22"/>
      <c r="G93" s="22"/>
      <c r="H93" s="22"/>
      <c r="I93" s="24" t="str">
        <f t="shared" si="2"/>
        <v/>
      </c>
      <c r="J93" s="25" t="str">
        <f t="shared" si="3"/>
        <v/>
      </c>
      <c r="K93" s="22"/>
      <c r="L93" s="22"/>
      <c r="M93" s="25" t="str">
        <f>IF(AND(L93&gt;=ref!$L$2,L93&lt;=ref!$M$2),ref!$K$2,IF(AND(L93&gt;=ref!$L$3,L93&lt;=ref!$M$3),ref!$K$3,IF(AND(L93&gt;=ref!$L$4,L93&lt;=ref!$M$4),ref!$K$4,IF(AND(L93&gt;=ref!$L$5,L93&lt;=ref!$M$5),ref!$K$5,IF(AND(L93&gt;=ref!$L$6,L93&lt;=ref!$M$6),ref!$K$6,IF(AND(L93&gt;=ref!$L$7,L93&lt;=ref!$M$7),ref!$K$7,IF(AND(L93&gt;=ref!$L$8,L93&lt;=ref!$M$8),ref!$K$8,IF(AND(L93&gt;=ref!$L$9,L93&lt;=ref!$M$9),ref!$K$9,IF(AND(L93&gt;=ref!$L$11,L93&lt;=ref!$M$11),ref!$K$11,IF(AND(L93&gt;=ref!$L$12,L93&lt;=ref!$M$12),ref!$K$12,""))))))))))</f>
        <v/>
      </c>
      <c r="N93" s="22"/>
      <c r="O93" s="16"/>
      <c r="P93" s="22"/>
      <c r="Q93" s="27"/>
      <c r="R93" s="22"/>
      <c r="S93" s="22"/>
      <c r="T93" s="16"/>
      <c r="U93" s="16"/>
      <c r="V93" s="16"/>
      <c r="W93" s="16"/>
      <c r="X93" s="16"/>
      <c r="Y93" s="16"/>
      <c r="Z93" s="16"/>
      <c r="AA93" s="16"/>
      <c r="AB93" s="22"/>
    </row>
    <row r="94" spans="1:28" x14ac:dyDescent="0.3">
      <c r="A94" s="22"/>
      <c r="B94" s="22"/>
      <c r="C94" s="22"/>
      <c r="D94" s="22"/>
      <c r="E94" s="22"/>
      <c r="F94" s="22"/>
      <c r="G94" s="22"/>
      <c r="H94" s="22"/>
      <c r="I94" s="24" t="str">
        <f t="shared" si="2"/>
        <v/>
      </c>
      <c r="J94" s="25" t="str">
        <f t="shared" si="3"/>
        <v/>
      </c>
      <c r="K94" s="22"/>
      <c r="L94" s="22"/>
      <c r="M94" s="25" t="str">
        <f>IF(AND(L94&gt;=ref!$L$2,L94&lt;=ref!$M$2),ref!$K$2,IF(AND(L94&gt;=ref!$L$3,L94&lt;=ref!$M$3),ref!$K$3,IF(AND(L94&gt;=ref!$L$4,L94&lt;=ref!$M$4),ref!$K$4,IF(AND(L94&gt;=ref!$L$5,L94&lt;=ref!$M$5),ref!$K$5,IF(AND(L94&gt;=ref!$L$6,L94&lt;=ref!$M$6),ref!$K$6,IF(AND(L94&gt;=ref!$L$7,L94&lt;=ref!$M$7),ref!$K$7,IF(AND(L94&gt;=ref!$L$8,L94&lt;=ref!$M$8),ref!$K$8,IF(AND(L94&gt;=ref!$L$9,L94&lt;=ref!$M$9),ref!$K$9,IF(AND(L94&gt;=ref!$L$11,L94&lt;=ref!$M$11),ref!$K$11,IF(AND(L94&gt;=ref!$L$12,L94&lt;=ref!$M$12),ref!$K$12,""))))))))))</f>
        <v/>
      </c>
      <c r="N94" s="22"/>
      <c r="O94" s="16"/>
      <c r="P94" s="22"/>
      <c r="Q94" s="27"/>
      <c r="R94" s="22"/>
      <c r="S94" s="22"/>
      <c r="T94" s="16"/>
      <c r="U94" s="16"/>
      <c r="V94" s="16"/>
      <c r="W94" s="16"/>
      <c r="X94" s="16"/>
      <c r="Y94" s="16"/>
      <c r="Z94" s="16"/>
      <c r="AA94" s="16"/>
      <c r="AB94" s="22"/>
    </row>
    <row r="95" spans="1:28" x14ac:dyDescent="0.3">
      <c r="A95" s="22"/>
      <c r="B95" s="22"/>
      <c r="C95" s="22"/>
      <c r="D95" s="22"/>
      <c r="E95" s="22"/>
      <c r="F95" s="22"/>
      <c r="G95" s="22"/>
      <c r="H95" s="22"/>
      <c r="I95" s="24" t="str">
        <f t="shared" si="2"/>
        <v/>
      </c>
      <c r="J95" s="25" t="str">
        <f t="shared" si="3"/>
        <v/>
      </c>
      <c r="K95" s="22"/>
      <c r="L95" s="22"/>
      <c r="M95" s="25" t="str">
        <f>IF(AND(L95&gt;=ref!$L$2,L95&lt;=ref!$M$2),ref!$K$2,IF(AND(L95&gt;=ref!$L$3,L95&lt;=ref!$M$3),ref!$K$3,IF(AND(L95&gt;=ref!$L$4,L95&lt;=ref!$M$4),ref!$K$4,IF(AND(L95&gt;=ref!$L$5,L95&lt;=ref!$M$5),ref!$K$5,IF(AND(L95&gt;=ref!$L$6,L95&lt;=ref!$M$6),ref!$K$6,IF(AND(L95&gt;=ref!$L$7,L95&lt;=ref!$M$7),ref!$K$7,IF(AND(L95&gt;=ref!$L$8,L95&lt;=ref!$M$8),ref!$K$8,IF(AND(L95&gt;=ref!$L$9,L95&lt;=ref!$M$9),ref!$K$9,IF(AND(L95&gt;=ref!$L$11,L95&lt;=ref!$M$11),ref!$K$11,IF(AND(L95&gt;=ref!$L$12,L95&lt;=ref!$M$12),ref!$K$12,""))))))))))</f>
        <v/>
      </c>
      <c r="N95" s="22"/>
      <c r="O95" s="16"/>
      <c r="P95" s="22"/>
      <c r="Q95" s="27"/>
      <c r="R95" s="22"/>
      <c r="S95" s="22"/>
      <c r="T95" s="16"/>
      <c r="U95" s="16"/>
      <c r="V95" s="16"/>
      <c r="W95" s="16"/>
      <c r="X95" s="16"/>
      <c r="Y95" s="16"/>
      <c r="Z95" s="16"/>
      <c r="AA95" s="16"/>
      <c r="AB95" s="22"/>
    </row>
    <row r="96" spans="1:28" x14ac:dyDescent="0.3">
      <c r="A96" s="22"/>
      <c r="B96" s="22"/>
      <c r="C96" s="22"/>
      <c r="D96" s="22"/>
      <c r="E96" s="22"/>
      <c r="F96" s="22"/>
      <c r="G96" s="22"/>
      <c r="H96" s="22"/>
      <c r="I96" s="24" t="str">
        <f t="shared" si="2"/>
        <v/>
      </c>
      <c r="J96" s="25" t="str">
        <f t="shared" si="3"/>
        <v/>
      </c>
      <c r="K96" s="22"/>
      <c r="L96" s="22"/>
      <c r="M96" s="25" t="str">
        <f>IF(AND(L96&gt;=ref!$L$2,L96&lt;=ref!$M$2),ref!$K$2,IF(AND(L96&gt;=ref!$L$3,L96&lt;=ref!$M$3),ref!$K$3,IF(AND(L96&gt;=ref!$L$4,L96&lt;=ref!$M$4),ref!$K$4,IF(AND(L96&gt;=ref!$L$5,L96&lt;=ref!$M$5),ref!$K$5,IF(AND(L96&gt;=ref!$L$6,L96&lt;=ref!$M$6),ref!$K$6,IF(AND(L96&gt;=ref!$L$7,L96&lt;=ref!$M$7),ref!$K$7,IF(AND(L96&gt;=ref!$L$8,L96&lt;=ref!$M$8),ref!$K$8,IF(AND(L96&gt;=ref!$L$9,L96&lt;=ref!$M$9),ref!$K$9,IF(AND(L96&gt;=ref!$L$11,L96&lt;=ref!$M$11),ref!$K$11,IF(AND(L96&gt;=ref!$L$12,L96&lt;=ref!$M$12),ref!$K$12,""))))))))))</f>
        <v/>
      </c>
      <c r="N96" s="22"/>
      <c r="O96" s="16"/>
      <c r="P96" s="22"/>
      <c r="Q96" s="27"/>
      <c r="R96" s="22"/>
      <c r="S96" s="22"/>
      <c r="T96" s="16"/>
      <c r="U96" s="16"/>
      <c r="V96" s="16"/>
      <c r="W96" s="16"/>
      <c r="X96" s="16"/>
      <c r="Y96" s="16"/>
      <c r="Z96" s="16"/>
      <c r="AA96" s="16"/>
      <c r="AB96" s="22"/>
    </row>
    <row r="97" spans="1:28" x14ac:dyDescent="0.3">
      <c r="A97" s="22"/>
      <c r="B97" s="22"/>
      <c r="C97" s="22"/>
      <c r="D97" s="22"/>
      <c r="E97" s="22"/>
      <c r="F97" s="22"/>
      <c r="G97" s="22"/>
      <c r="H97" s="22"/>
      <c r="I97" s="24" t="str">
        <f t="shared" si="2"/>
        <v/>
      </c>
      <c r="J97" s="25" t="str">
        <f t="shared" si="3"/>
        <v/>
      </c>
      <c r="K97" s="22"/>
      <c r="L97" s="22"/>
      <c r="M97" s="25" t="str">
        <f>IF(AND(L97&gt;=ref!$L$2,L97&lt;=ref!$M$2),ref!$K$2,IF(AND(L97&gt;=ref!$L$3,L97&lt;=ref!$M$3),ref!$K$3,IF(AND(L97&gt;=ref!$L$4,L97&lt;=ref!$M$4),ref!$K$4,IF(AND(L97&gt;=ref!$L$5,L97&lt;=ref!$M$5),ref!$K$5,IF(AND(L97&gt;=ref!$L$6,L97&lt;=ref!$M$6),ref!$K$6,IF(AND(L97&gt;=ref!$L$7,L97&lt;=ref!$M$7),ref!$K$7,IF(AND(L97&gt;=ref!$L$8,L97&lt;=ref!$M$8),ref!$K$8,IF(AND(L97&gt;=ref!$L$9,L97&lt;=ref!$M$9),ref!$K$9,IF(AND(L97&gt;=ref!$L$11,L97&lt;=ref!$M$11),ref!$K$11,IF(AND(L97&gt;=ref!$L$12,L97&lt;=ref!$M$12),ref!$K$12,""))))))))))</f>
        <v/>
      </c>
      <c r="N97" s="22"/>
      <c r="O97" s="16"/>
      <c r="P97" s="22"/>
      <c r="Q97" s="27"/>
      <c r="R97" s="22"/>
      <c r="S97" s="22"/>
      <c r="T97" s="16"/>
      <c r="U97" s="16"/>
      <c r="V97" s="16"/>
      <c r="W97" s="16"/>
      <c r="X97" s="16"/>
      <c r="Y97" s="16"/>
      <c r="Z97" s="16"/>
      <c r="AA97" s="16"/>
      <c r="AB97" s="22"/>
    </row>
    <row r="98" spans="1:28" x14ac:dyDescent="0.3">
      <c r="A98" s="22"/>
      <c r="B98" s="22"/>
      <c r="C98" s="22"/>
      <c r="D98" s="22"/>
      <c r="E98" s="22"/>
      <c r="F98" s="22"/>
      <c r="G98" s="22"/>
      <c r="H98" s="22"/>
      <c r="I98" s="24" t="str">
        <f t="shared" si="2"/>
        <v/>
      </c>
      <c r="J98" s="25" t="str">
        <f t="shared" si="3"/>
        <v/>
      </c>
      <c r="K98" s="22"/>
      <c r="L98" s="22"/>
      <c r="M98" s="25" t="str">
        <f>IF(AND(L98&gt;=ref!$L$2,L98&lt;=ref!$M$2),ref!$K$2,IF(AND(L98&gt;=ref!$L$3,L98&lt;=ref!$M$3),ref!$K$3,IF(AND(L98&gt;=ref!$L$4,L98&lt;=ref!$M$4),ref!$K$4,IF(AND(L98&gt;=ref!$L$5,L98&lt;=ref!$M$5),ref!$K$5,IF(AND(L98&gt;=ref!$L$6,L98&lt;=ref!$M$6),ref!$K$6,IF(AND(L98&gt;=ref!$L$7,L98&lt;=ref!$M$7),ref!$K$7,IF(AND(L98&gt;=ref!$L$8,L98&lt;=ref!$M$8),ref!$K$8,IF(AND(L98&gt;=ref!$L$9,L98&lt;=ref!$M$9),ref!$K$9,IF(AND(L98&gt;=ref!$L$11,L98&lt;=ref!$M$11),ref!$K$11,IF(AND(L98&gt;=ref!$L$12,L98&lt;=ref!$M$12),ref!$K$12,""))))))))))</f>
        <v/>
      </c>
      <c r="N98" s="22"/>
      <c r="O98" s="16"/>
      <c r="P98" s="22"/>
      <c r="Q98" s="27"/>
      <c r="R98" s="22"/>
      <c r="S98" s="22"/>
      <c r="T98" s="16"/>
      <c r="U98" s="16"/>
      <c r="V98" s="16"/>
      <c r="W98" s="16"/>
      <c r="X98" s="16"/>
      <c r="Y98" s="16"/>
      <c r="Z98" s="16"/>
      <c r="AA98" s="16"/>
      <c r="AB98" s="22"/>
    </row>
    <row r="99" spans="1:28" x14ac:dyDescent="0.3">
      <c r="A99" s="22"/>
      <c r="B99" s="22"/>
      <c r="C99" s="22"/>
      <c r="D99" s="22"/>
      <c r="E99" s="22"/>
      <c r="F99" s="22"/>
      <c r="G99" s="22"/>
      <c r="H99" s="22"/>
      <c r="I99" s="24" t="str">
        <f t="shared" si="2"/>
        <v/>
      </c>
      <c r="J99" s="25" t="str">
        <f t="shared" si="3"/>
        <v/>
      </c>
      <c r="K99" s="22"/>
      <c r="L99" s="22"/>
      <c r="M99" s="25" t="str">
        <f>IF(AND(L99&gt;=ref!$L$2,L99&lt;=ref!$M$2),ref!$K$2,IF(AND(L99&gt;=ref!$L$3,L99&lt;=ref!$M$3),ref!$K$3,IF(AND(L99&gt;=ref!$L$4,L99&lt;=ref!$M$4),ref!$K$4,IF(AND(L99&gt;=ref!$L$5,L99&lt;=ref!$M$5),ref!$K$5,IF(AND(L99&gt;=ref!$L$6,L99&lt;=ref!$M$6),ref!$K$6,IF(AND(L99&gt;=ref!$L$7,L99&lt;=ref!$M$7),ref!$K$7,IF(AND(L99&gt;=ref!$L$8,L99&lt;=ref!$M$8),ref!$K$8,IF(AND(L99&gt;=ref!$L$9,L99&lt;=ref!$M$9),ref!$K$9,IF(AND(L99&gt;=ref!$L$11,L99&lt;=ref!$M$11),ref!$K$11,IF(AND(L99&gt;=ref!$L$12,L99&lt;=ref!$M$12),ref!$K$12,""))))))))))</f>
        <v/>
      </c>
      <c r="N99" s="22"/>
      <c r="O99" s="16"/>
      <c r="P99" s="22"/>
      <c r="Q99" s="27"/>
      <c r="R99" s="22"/>
      <c r="S99" s="22"/>
      <c r="T99" s="16"/>
      <c r="U99" s="16"/>
      <c r="V99" s="16"/>
      <c r="W99" s="16"/>
      <c r="X99" s="16"/>
      <c r="Y99" s="16"/>
      <c r="Z99" s="16"/>
      <c r="AA99" s="16"/>
      <c r="AB99" s="22"/>
    </row>
    <row r="100" spans="1:28" x14ac:dyDescent="0.3">
      <c r="A100" s="22"/>
      <c r="B100" s="22"/>
      <c r="C100" s="22"/>
      <c r="D100" s="22"/>
      <c r="E100" s="22"/>
      <c r="F100" s="22"/>
      <c r="G100" s="22"/>
      <c r="H100" s="22"/>
      <c r="I100" s="24" t="str">
        <f t="shared" si="2"/>
        <v/>
      </c>
      <c r="J100" s="25" t="str">
        <f t="shared" si="3"/>
        <v/>
      </c>
      <c r="K100" s="22"/>
      <c r="L100" s="22"/>
      <c r="M100" s="25" t="str">
        <f>IF(AND(L100&gt;=ref!$L$2,L100&lt;=ref!$M$2),ref!$K$2,IF(AND(L100&gt;=ref!$L$3,L100&lt;=ref!$M$3),ref!$K$3,IF(AND(L100&gt;=ref!$L$4,L100&lt;=ref!$M$4),ref!$K$4,IF(AND(L100&gt;=ref!$L$5,L100&lt;=ref!$M$5),ref!$K$5,IF(AND(L100&gt;=ref!$L$6,L100&lt;=ref!$M$6),ref!$K$6,IF(AND(L100&gt;=ref!$L$7,L100&lt;=ref!$M$7),ref!$K$7,IF(AND(L100&gt;=ref!$L$8,L100&lt;=ref!$M$8),ref!$K$8,IF(AND(L100&gt;=ref!$L$9,L100&lt;=ref!$M$9),ref!$K$9,IF(AND(L100&gt;=ref!$L$11,L100&lt;=ref!$M$11),ref!$K$11,IF(AND(L100&gt;=ref!$L$12,L100&lt;=ref!$M$12),ref!$K$12,""))))))))))</f>
        <v/>
      </c>
      <c r="N100" s="22"/>
      <c r="O100" s="16"/>
      <c r="P100" s="22"/>
      <c r="Q100" s="27"/>
      <c r="R100" s="22"/>
      <c r="S100" s="22"/>
      <c r="T100" s="16"/>
      <c r="U100" s="16"/>
      <c r="V100" s="16"/>
      <c r="W100" s="16"/>
      <c r="X100" s="16"/>
      <c r="Y100" s="16"/>
      <c r="Z100" s="16"/>
      <c r="AA100" s="16"/>
      <c r="AB100" s="22"/>
    </row>
    <row r="101" spans="1:28" x14ac:dyDescent="0.3">
      <c r="A101" s="22"/>
      <c r="B101" s="22"/>
      <c r="C101" s="22"/>
      <c r="D101" s="22"/>
      <c r="E101" s="22"/>
      <c r="F101" s="22"/>
      <c r="G101" s="22"/>
      <c r="H101" s="22"/>
      <c r="I101" s="24" t="str">
        <f t="shared" si="2"/>
        <v/>
      </c>
      <c r="J101" s="25" t="str">
        <f t="shared" si="3"/>
        <v/>
      </c>
      <c r="K101" s="22"/>
      <c r="L101" s="22"/>
      <c r="M101" s="25" t="str">
        <f>IF(AND(L101&gt;=ref!$L$2,L101&lt;=ref!$M$2),ref!$K$2,IF(AND(L101&gt;=ref!$L$3,L101&lt;=ref!$M$3),ref!$K$3,IF(AND(L101&gt;=ref!$L$4,L101&lt;=ref!$M$4),ref!$K$4,IF(AND(L101&gt;=ref!$L$5,L101&lt;=ref!$M$5),ref!$K$5,IF(AND(L101&gt;=ref!$L$6,L101&lt;=ref!$M$6),ref!$K$6,IF(AND(L101&gt;=ref!$L$7,L101&lt;=ref!$M$7),ref!$K$7,IF(AND(L101&gt;=ref!$L$8,L101&lt;=ref!$M$8),ref!$K$8,IF(AND(L101&gt;=ref!$L$9,L101&lt;=ref!$M$9),ref!$K$9,IF(AND(L101&gt;=ref!$L$11,L101&lt;=ref!$M$11),ref!$K$11,IF(AND(L101&gt;=ref!$L$12,L101&lt;=ref!$M$12),ref!$K$12,""))))))))))</f>
        <v/>
      </c>
      <c r="N101" s="22"/>
      <c r="O101" s="16"/>
      <c r="P101" s="22"/>
      <c r="Q101" s="27"/>
      <c r="R101" s="22"/>
      <c r="S101" s="22"/>
      <c r="T101" s="16"/>
      <c r="U101" s="16"/>
      <c r="V101" s="16"/>
      <c r="W101" s="16"/>
      <c r="X101" s="16"/>
      <c r="Y101" s="16"/>
      <c r="Z101" s="16"/>
      <c r="AA101" s="16"/>
      <c r="AB101" s="22"/>
    </row>
    <row r="102" spans="1:28" x14ac:dyDescent="0.3">
      <c r="A102" s="22"/>
      <c r="B102" s="22"/>
      <c r="C102" s="22"/>
      <c r="D102" s="22"/>
      <c r="E102" s="22"/>
      <c r="F102" s="22"/>
      <c r="G102" s="22"/>
      <c r="H102" s="22"/>
      <c r="I102" s="24" t="str">
        <f t="shared" si="2"/>
        <v/>
      </c>
      <c r="J102" s="25" t="str">
        <f t="shared" si="3"/>
        <v/>
      </c>
      <c r="K102" s="22"/>
      <c r="L102" s="22"/>
      <c r="M102" s="25" t="str">
        <f>IF(AND(L102&gt;=ref!$L$2,L102&lt;=ref!$M$2),ref!$K$2,IF(AND(L102&gt;=ref!$L$3,L102&lt;=ref!$M$3),ref!$K$3,IF(AND(L102&gt;=ref!$L$4,L102&lt;=ref!$M$4),ref!$K$4,IF(AND(L102&gt;=ref!$L$5,L102&lt;=ref!$M$5),ref!$K$5,IF(AND(L102&gt;=ref!$L$6,L102&lt;=ref!$M$6),ref!$K$6,IF(AND(L102&gt;=ref!$L$7,L102&lt;=ref!$M$7),ref!$K$7,IF(AND(L102&gt;=ref!$L$8,L102&lt;=ref!$M$8),ref!$K$8,IF(AND(L102&gt;=ref!$L$9,L102&lt;=ref!$M$9),ref!$K$9,IF(AND(L102&gt;=ref!$L$11,L102&lt;=ref!$M$11),ref!$K$11,IF(AND(L102&gt;=ref!$L$12,L102&lt;=ref!$M$12),ref!$K$12,""))))))))))</f>
        <v/>
      </c>
      <c r="N102" s="22"/>
      <c r="O102" s="16"/>
      <c r="P102" s="22"/>
      <c r="Q102" s="27"/>
      <c r="R102" s="22"/>
      <c r="S102" s="22"/>
      <c r="T102" s="16"/>
      <c r="U102" s="16"/>
      <c r="V102" s="16"/>
      <c r="W102" s="16"/>
      <c r="X102" s="16"/>
      <c r="Y102" s="16"/>
      <c r="Z102" s="16"/>
      <c r="AA102" s="16"/>
      <c r="AB102" s="22"/>
    </row>
    <row r="103" spans="1:28" x14ac:dyDescent="0.3">
      <c r="A103" s="22"/>
      <c r="B103" s="22"/>
      <c r="C103" s="22"/>
      <c r="D103" s="22"/>
      <c r="E103" s="22"/>
      <c r="F103" s="22"/>
      <c r="G103" s="22"/>
      <c r="H103" s="22"/>
      <c r="I103" s="24" t="str">
        <f t="shared" si="2"/>
        <v/>
      </c>
      <c r="J103" s="25" t="str">
        <f t="shared" si="3"/>
        <v/>
      </c>
      <c r="K103" s="22"/>
      <c r="L103" s="22"/>
      <c r="M103" s="25" t="str">
        <f>IF(AND(L103&gt;=ref!$L$2,L103&lt;=ref!$M$2),ref!$K$2,IF(AND(L103&gt;=ref!$L$3,L103&lt;=ref!$M$3),ref!$K$3,IF(AND(L103&gt;=ref!$L$4,L103&lt;=ref!$M$4),ref!$K$4,IF(AND(L103&gt;=ref!$L$5,L103&lt;=ref!$M$5),ref!$K$5,IF(AND(L103&gt;=ref!$L$6,L103&lt;=ref!$M$6),ref!$K$6,IF(AND(L103&gt;=ref!$L$7,L103&lt;=ref!$M$7),ref!$K$7,IF(AND(L103&gt;=ref!$L$8,L103&lt;=ref!$M$8),ref!$K$8,IF(AND(L103&gt;=ref!$L$9,L103&lt;=ref!$M$9),ref!$K$9,IF(AND(L103&gt;=ref!$L$11,L103&lt;=ref!$M$11),ref!$K$11,IF(AND(L103&gt;=ref!$L$12,L103&lt;=ref!$M$12),ref!$K$12,""))))))))))</f>
        <v/>
      </c>
      <c r="N103" s="22"/>
      <c r="O103" s="16"/>
      <c r="P103" s="22"/>
      <c r="Q103" s="27"/>
      <c r="R103" s="22"/>
      <c r="S103" s="22"/>
      <c r="T103" s="16"/>
      <c r="U103" s="16"/>
      <c r="V103" s="16"/>
      <c r="W103" s="16"/>
      <c r="X103" s="16"/>
      <c r="Y103" s="16"/>
      <c r="Z103" s="16"/>
      <c r="AA103" s="16"/>
      <c r="AB103" s="22"/>
    </row>
    <row r="104" spans="1:28" x14ac:dyDescent="0.3">
      <c r="A104" s="22"/>
      <c r="B104" s="22"/>
      <c r="C104" s="22"/>
      <c r="D104" s="22"/>
      <c r="E104" s="22"/>
      <c r="F104" s="22"/>
      <c r="G104" s="22"/>
      <c r="H104" s="22"/>
      <c r="I104" s="24" t="str">
        <f t="shared" si="2"/>
        <v/>
      </c>
      <c r="J104" s="25" t="str">
        <f t="shared" si="3"/>
        <v/>
      </c>
      <c r="K104" s="22"/>
      <c r="L104" s="22"/>
      <c r="M104" s="25" t="str">
        <f>IF(AND(L104&gt;=ref!$L$2,L104&lt;=ref!$M$2),ref!$K$2,IF(AND(L104&gt;=ref!$L$3,L104&lt;=ref!$M$3),ref!$K$3,IF(AND(L104&gt;=ref!$L$4,L104&lt;=ref!$M$4),ref!$K$4,IF(AND(L104&gt;=ref!$L$5,L104&lt;=ref!$M$5),ref!$K$5,IF(AND(L104&gt;=ref!$L$6,L104&lt;=ref!$M$6),ref!$K$6,IF(AND(L104&gt;=ref!$L$7,L104&lt;=ref!$M$7),ref!$K$7,IF(AND(L104&gt;=ref!$L$8,L104&lt;=ref!$M$8),ref!$K$8,IF(AND(L104&gt;=ref!$L$9,L104&lt;=ref!$M$9),ref!$K$9,IF(AND(L104&gt;=ref!$L$11,L104&lt;=ref!$M$11),ref!$K$11,IF(AND(L104&gt;=ref!$L$12,L104&lt;=ref!$M$12),ref!$K$12,""))))))))))</f>
        <v/>
      </c>
      <c r="N104" s="22"/>
      <c r="O104" s="16"/>
      <c r="P104" s="22"/>
      <c r="Q104" s="27"/>
      <c r="R104" s="22"/>
      <c r="S104" s="22"/>
      <c r="T104" s="16"/>
      <c r="U104" s="16"/>
      <c r="V104" s="16"/>
      <c r="W104" s="16"/>
      <c r="X104" s="16"/>
      <c r="Y104" s="16"/>
      <c r="Z104" s="16"/>
      <c r="AA104" s="16"/>
      <c r="AB104" s="22"/>
    </row>
    <row r="105" spans="1:28" x14ac:dyDescent="0.3">
      <c r="A105" s="22"/>
      <c r="B105" s="22"/>
      <c r="C105" s="22"/>
      <c r="D105" s="22"/>
      <c r="E105" s="22"/>
      <c r="F105" s="22"/>
      <c r="G105" s="22"/>
      <c r="H105" s="22"/>
      <c r="I105" s="24" t="str">
        <f t="shared" si="2"/>
        <v/>
      </c>
      <c r="J105" s="25" t="str">
        <f t="shared" si="3"/>
        <v/>
      </c>
      <c r="K105" s="22"/>
      <c r="L105" s="22"/>
      <c r="M105" s="25" t="str">
        <f>IF(AND(L105&gt;=ref!$L$2,L105&lt;=ref!$M$2),ref!$K$2,IF(AND(L105&gt;=ref!$L$3,L105&lt;=ref!$M$3),ref!$K$3,IF(AND(L105&gt;=ref!$L$4,L105&lt;=ref!$M$4),ref!$K$4,IF(AND(L105&gt;=ref!$L$5,L105&lt;=ref!$M$5),ref!$K$5,IF(AND(L105&gt;=ref!$L$6,L105&lt;=ref!$M$6),ref!$K$6,IF(AND(L105&gt;=ref!$L$7,L105&lt;=ref!$M$7),ref!$K$7,IF(AND(L105&gt;=ref!$L$8,L105&lt;=ref!$M$8),ref!$K$8,IF(AND(L105&gt;=ref!$L$9,L105&lt;=ref!$M$9),ref!$K$9,IF(AND(L105&gt;=ref!$L$11,L105&lt;=ref!$M$11),ref!$K$11,IF(AND(L105&gt;=ref!$L$12,L105&lt;=ref!$M$12),ref!$K$12,""))))))))))</f>
        <v/>
      </c>
      <c r="N105" s="22"/>
      <c r="O105" s="16"/>
      <c r="P105" s="22"/>
      <c r="Q105" s="27"/>
      <c r="R105" s="22"/>
      <c r="S105" s="22"/>
      <c r="T105" s="16"/>
      <c r="U105" s="16"/>
      <c r="V105" s="16"/>
      <c r="W105" s="16"/>
      <c r="X105" s="16"/>
      <c r="Y105" s="16"/>
      <c r="Z105" s="16"/>
      <c r="AA105" s="16"/>
      <c r="AB105" s="22"/>
    </row>
    <row r="106" spans="1:28" x14ac:dyDescent="0.3">
      <c r="A106" s="22"/>
      <c r="B106" s="22"/>
      <c r="C106" s="22"/>
      <c r="D106" s="22"/>
      <c r="E106" s="22"/>
      <c r="F106" s="22"/>
      <c r="G106" s="22"/>
      <c r="H106" s="22"/>
      <c r="I106" s="24" t="str">
        <f t="shared" si="2"/>
        <v/>
      </c>
      <c r="J106" s="25" t="str">
        <f t="shared" si="3"/>
        <v/>
      </c>
      <c r="K106" s="22"/>
      <c r="L106" s="22"/>
      <c r="M106" s="25" t="str">
        <f>IF(AND(L106&gt;=ref!$L$2,L106&lt;=ref!$M$2),ref!$K$2,IF(AND(L106&gt;=ref!$L$3,L106&lt;=ref!$M$3),ref!$K$3,IF(AND(L106&gt;=ref!$L$4,L106&lt;=ref!$M$4),ref!$K$4,IF(AND(L106&gt;=ref!$L$5,L106&lt;=ref!$M$5),ref!$K$5,IF(AND(L106&gt;=ref!$L$6,L106&lt;=ref!$M$6),ref!$K$6,IF(AND(L106&gt;=ref!$L$7,L106&lt;=ref!$M$7),ref!$K$7,IF(AND(L106&gt;=ref!$L$8,L106&lt;=ref!$M$8),ref!$K$8,IF(AND(L106&gt;=ref!$L$9,L106&lt;=ref!$M$9),ref!$K$9,IF(AND(L106&gt;=ref!$L$11,L106&lt;=ref!$M$11),ref!$K$11,IF(AND(L106&gt;=ref!$L$12,L106&lt;=ref!$M$12),ref!$K$12,""))))))))))</f>
        <v/>
      </c>
      <c r="N106" s="22"/>
      <c r="O106" s="16"/>
      <c r="P106" s="22"/>
      <c r="Q106" s="27"/>
      <c r="R106" s="22"/>
      <c r="S106" s="22"/>
      <c r="T106" s="16"/>
      <c r="U106" s="16"/>
      <c r="V106" s="16"/>
      <c r="W106" s="16"/>
      <c r="X106" s="16"/>
      <c r="Y106" s="16"/>
      <c r="Z106" s="16"/>
      <c r="AA106" s="16"/>
      <c r="AB106" s="22"/>
    </row>
    <row r="107" spans="1:28" x14ac:dyDescent="0.3">
      <c r="A107" s="22"/>
      <c r="B107" s="22"/>
      <c r="C107" s="22"/>
      <c r="D107" s="22"/>
      <c r="E107" s="22"/>
      <c r="F107" s="22"/>
      <c r="G107" s="22"/>
      <c r="H107" s="22"/>
      <c r="I107" s="24" t="str">
        <f t="shared" si="2"/>
        <v/>
      </c>
      <c r="J107" s="25" t="str">
        <f t="shared" si="3"/>
        <v/>
      </c>
      <c r="K107" s="22"/>
      <c r="L107" s="22"/>
      <c r="M107" s="25" t="str">
        <f>IF(AND(L107&gt;=ref!$L$2,L107&lt;=ref!$M$2),ref!$K$2,IF(AND(L107&gt;=ref!$L$3,L107&lt;=ref!$M$3),ref!$K$3,IF(AND(L107&gt;=ref!$L$4,L107&lt;=ref!$M$4),ref!$K$4,IF(AND(L107&gt;=ref!$L$5,L107&lt;=ref!$M$5),ref!$K$5,IF(AND(L107&gt;=ref!$L$6,L107&lt;=ref!$M$6),ref!$K$6,IF(AND(L107&gt;=ref!$L$7,L107&lt;=ref!$M$7),ref!$K$7,IF(AND(L107&gt;=ref!$L$8,L107&lt;=ref!$M$8),ref!$K$8,IF(AND(L107&gt;=ref!$L$9,L107&lt;=ref!$M$9),ref!$K$9,IF(AND(L107&gt;=ref!$L$11,L107&lt;=ref!$M$11),ref!$K$11,IF(AND(L107&gt;=ref!$L$12,L107&lt;=ref!$M$12),ref!$K$12,""))))))))))</f>
        <v/>
      </c>
      <c r="N107" s="22"/>
      <c r="O107" s="16"/>
      <c r="P107" s="22"/>
      <c r="Q107" s="27"/>
      <c r="R107" s="22"/>
      <c r="S107" s="22"/>
      <c r="T107" s="16"/>
      <c r="U107" s="16"/>
      <c r="V107" s="16"/>
      <c r="W107" s="16"/>
      <c r="X107" s="16"/>
      <c r="Y107" s="16"/>
      <c r="Z107" s="16"/>
      <c r="AA107" s="16"/>
      <c r="AB107" s="22"/>
    </row>
    <row r="108" spans="1:28" x14ac:dyDescent="0.3">
      <c r="A108" s="22"/>
      <c r="B108" s="22"/>
      <c r="C108" s="22"/>
      <c r="D108" s="22"/>
      <c r="E108" s="22"/>
      <c r="F108" s="22"/>
      <c r="G108" s="22"/>
      <c r="H108" s="22"/>
      <c r="I108" s="24" t="str">
        <f t="shared" si="2"/>
        <v/>
      </c>
      <c r="J108" s="25" t="str">
        <f t="shared" si="3"/>
        <v/>
      </c>
      <c r="K108" s="22"/>
      <c r="L108" s="22"/>
      <c r="M108" s="25" t="str">
        <f>IF(AND(L108&gt;=ref!$L$2,L108&lt;=ref!$M$2),ref!$K$2,IF(AND(L108&gt;=ref!$L$3,L108&lt;=ref!$M$3),ref!$K$3,IF(AND(L108&gt;=ref!$L$4,L108&lt;=ref!$M$4),ref!$K$4,IF(AND(L108&gt;=ref!$L$5,L108&lt;=ref!$M$5),ref!$K$5,IF(AND(L108&gt;=ref!$L$6,L108&lt;=ref!$M$6),ref!$K$6,IF(AND(L108&gt;=ref!$L$7,L108&lt;=ref!$M$7),ref!$K$7,IF(AND(L108&gt;=ref!$L$8,L108&lt;=ref!$M$8),ref!$K$8,IF(AND(L108&gt;=ref!$L$9,L108&lt;=ref!$M$9),ref!$K$9,IF(AND(L108&gt;=ref!$L$11,L108&lt;=ref!$M$11),ref!$K$11,IF(AND(L108&gt;=ref!$L$12,L108&lt;=ref!$M$12),ref!$K$12,""))))))))))</f>
        <v/>
      </c>
      <c r="N108" s="22"/>
      <c r="O108" s="16"/>
      <c r="P108" s="22"/>
      <c r="Q108" s="27"/>
      <c r="R108" s="22"/>
      <c r="S108" s="22"/>
      <c r="T108" s="16"/>
      <c r="U108" s="16"/>
      <c r="V108" s="16"/>
      <c r="W108" s="16"/>
      <c r="X108" s="16"/>
      <c r="Y108" s="16"/>
      <c r="Z108" s="16"/>
      <c r="AA108" s="16"/>
      <c r="AB108" s="22"/>
    </row>
    <row r="109" spans="1:28" x14ac:dyDescent="0.3">
      <c r="A109" s="22"/>
      <c r="B109" s="22"/>
      <c r="C109" s="22"/>
      <c r="D109" s="22"/>
      <c r="E109" s="22"/>
      <c r="F109" s="22"/>
      <c r="G109" s="22"/>
      <c r="H109" s="22"/>
      <c r="I109" s="24" t="str">
        <f t="shared" si="2"/>
        <v/>
      </c>
      <c r="J109" s="25" t="str">
        <f t="shared" si="3"/>
        <v/>
      </c>
      <c r="K109" s="22"/>
      <c r="L109" s="22"/>
      <c r="M109" s="25" t="str">
        <f>IF(AND(L109&gt;=ref!$L$2,L109&lt;=ref!$M$2),ref!$K$2,IF(AND(L109&gt;=ref!$L$3,L109&lt;=ref!$M$3),ref!$K$3,IF(AND(L109&gt;=ref!$L$4,L109&lt;=ref!$M$4),ref!$K$4,IF(AND(L109&gt;=ref!$L$5,L109&lt;=ref!$M$5),ref!$K$5,IF(AND(L109&gt;=ref!$L$6,L109&lt;=ref!$M$6),ref!$K$6,IF(AND(L109&gt;=ref!$L$7,L109&lt;=ref!$M$7),ref!$K$7,IF(AND(L109&gt;=ref!$L$8,L109&lt;=ref!$M$8),ref!$K$8,IF(AND(L109&gt;=ref!$L$9,L109&lt;=ref!$M$9),ref!$K$9,IF(AND(L109&gt;=ref!$L$11,L109&lt;=ref!$M$11),ref!$K$11,IF(AND(L109&gt;=ref!$L$12,L109&lt;=ref!$M$12),ref!$K$12,""))))))))))</f>
        <v/>
      </c>
      <c r="N109" s="22"/>
      <c r="O109" s="16"/>
      <c r="P109" s="22"/>
      <c r="Q109" s="27"/>
      <c r="R109" s="22"/>
      <c r="S109" s="22"/>
      <c r="T109" s="16"/>
      <c r="U109" s="16"/>
      <c r="V109" s="16"/>
      <c r="W109" s="16"/>
      <c r="X109" s="16"/>
      <c r="Y109" s="16"/>
      <c r="Z109" s="16"/>
      <c r="AA109" s="16"/>
      <c r="AB109" s="22"/>
    </row>
    <row r="110" spans="1:28" x14ac:dyDescent="0.3">
      <c r="A110" s="22"/>
      <c r="B110" s="22"/>
      <c r="C110" s="22"/>
      <c r="D110" s="22"/>
      <c r="E110" s="22"/>
      <c r="F110" s="22"/>
      <c r="G110" s="22"/>
      <c r="H110" s="22"/>
      <c r="I110" s="24" t="str">
        <f t="shared" si="2"/>
        <v/>
      </c>
      <c r="J110" s="25" t="str">
        <f t="shared" si="3"/>
        <v/>
      </c>
      <c r="K110" s="22"/>
      <c r="L110" s="22"/>
      <c r="M110" s="25" t="str">
        <f>IF(AND(L110&gt;=ref!$L$2,L110&lt;=ref!$M$2),ref!$K$2,IF(AND(L110&gt;=ref!$L$3,L110&lt;=ref!$M$3),ref!$K$3,IF(AND(L110&gt;=ref!$L$4,L110&lt;=ref!$M$4),ref!$K$4,IF(AND(L110&gt;=ref!$L$5,L110&lt;=ref!$M$5),ref!$K$5,IF(AND(L110&gt;=ref!$L$6,L110&lt;=ref!$M$6),ref!$K$6,IF(AND(L110&gt;=ref!$L$7,L110&lt;=ref!$M$7),ref!$K$7,IF(AND(L110&gt;=ref!$L$8,L110&lt;=ref!$M$8),ref!$K$8,IF(AND(L110&gt;=ref!$L$9,L110&lt;=ref!$M$9),ref!$K$9,IF(AND(L110&gt;=ref!$L$11,L110&lt;=ref!$M$11),ref!$K$11,IF(AND(L110&gt;=ref!$L$12,L110&lt;=ref!$M$12),ref!$K$12,""))))))))))</f>
        <v/>
      </c>
      <c r="N110" s="22"/>
      <c r="O110" s="16"/>
      <c r="P110" s="22"/>
      <c r="Q110" s="27"/>
      <c r="R110" s="22"/>
      <c r="S110" s="22"/>
      <c r="T110" s="16"/>
      <c r="U110" s="16"/>
      <c r="V110" s="16"/>
      <c r="W110" s="16"/>
      <c r="X110" s="16"/>
      <c r="Y110" s="16"/>
      <c r="Z110" s="16"/>
      <c r="AA110" s="16"/>
      <c r="AB110" s="22"/>
    </row>
    <row r="111" spans="1:28" x14ac:dyDescent="0.3">
      <c r="A111" s="22"/>
      <c r="B111" s="22"/>
      <c r="C111" s="22"/>
      <c r="D111" s="22"/>
      <c r="E111" s="22"/>
      <c r="F111" s="22"/>
      <c r="G111" s="22"/>
      <c r="H111" s="22"/>
      <c r="I111" s="24" t="str">
        <f t="shared" si="2"/>
        <v/>
      </c>
      <c r="J111" s="25" t="str">
        <f t="shared" si="3"/>
        <v/>
      </c>
      <c r="K111" s="22"/>
      <c r="L111" s="22"/>
      <c r="M111" s="25" t="str">
        <f>IF(AND(L111&gt;=ref!$L$2,L111&lt;=ref!$M$2),ref!$K$2,IF(AND(L111&gt;=ref!$L$3,L111&lt;=ref!$M$3),ref!$K$3,IF(AND(L111&gt;=ref!$L$4,L111&lt;=ref!$M$4),ref!$K$4,IF(AND(L111&gt;=ref!$L$5,L111&lt;=ref!$M$5),ref!$K$5,IF(AND(L111&gt;=ref!$L$6,L111&lt;=ref!$M$6),ref!$K$6,IF(AND(L111&gt;=ref!$L$7,L111&lt;=ref!$M$7),ref!$K$7,IF(AND(L111&gt;=ref!$L$8,L111&lt;=ref!$M$8),ref!$K$8,IF(AND(L111&gt;=ref!$L$9,L111&lt;=ref!$M$9),ref!$K$9,IF(AND(L111&gt;=ref!$L$11,L111&lt;=ref!$M$11),ref!$K$11,IF(AND(L111&gt;=ref!$L$12,L111&lt;=ref!$M$12),ref!$K$12,""))))))))))</f>
        <v/>
      </c>
      <c r="N111" s="22"/>
      <c r="O111" s="16"/>
      <c r="P111" s="22"/>
      <c r="Q111" s="27"/>
      <c r="R111" s="22"/>
      <c r="S111" s="22"/>
      <c r="T111" s="16"/>
      <c r="U111" s="16"/>
      <c r="V111" s="16"/>
      <c r="W111" s="16"/>
      <c r="X111" s="16"/>
      <c r="Y111" s="16"/>
      <c r="Z111" s="16"/>
      <c r="AA111" s="16"/>
      <c r="AB111" s="22"/>
    </row>
    <row r="112" spans="1:28" x14ac:dyDescent="0.3">
      <c r="A112" s="22"/>
      <c r="B112" s="22"/>
      <c r="C112" s="22"/>
      <c r="D112" s="22"/>
      <c r="E112" s="22"/>
      <c r="F112" s="22"/>
      <c r="G112" s="22"/>
      <c r="H112" s="22"/>
      <c r="I112" s="24" t="str">
        <f t="shared" si="2"/>
        <v/>
      </c>
      <c r="J112" s="25" t="str">
        <f t="shared" si="3"/>
        <v/>
      </c>
      <c r="K112" s="22"/>
      <c r="L112" s="22"/>
      <c r="M112" s="25" t="str">
        <f>IF(AND(L112&gt;=ref!$L$2,L112&lt;=ref!$M$2),ref!$K$2,IF(AND(L112&gt;=ref!$L$3,L112&lt;=ref!$M$3),ref!$K$3,IF(AND(L112&gt;=ref!$L$4,L112&lt;=ref!$M$4),ref!$K$4,IF(AND(L112&gt;=ref!$L$5,L112&lt;=ref!$M$5),ref!$K$5,IF(AND(L112&gt;=ref!$L$6,L112&lt;=ref!$M$6),ref!$K$6,IF(AND(L112&gt;=ref!$L$7,L112&lt;=ref!$M$7),ref!$K$7,IF(AND(L112&gt;=ref!$L$8,L112&lt;=ref!$M$8),ref!$K$8,IF(AND(L112&gt;=ref!$L$9,L112&lt;=ref!$M$9),ref!$K$9,IF(AND(L112&gt;=ref!$L$11,L112&lt;=ref!$M$11),ref!$K$11,IF(AND(L112&gt;=ref!$L$12,L112&lt;=ref!$M$12),ref!$K$12,""))))))))))</f>
        <v/>
      </c>
      <c r="N112" s="22"/>
      <c r="O112" s="16"/>
      <c r="P112" s="22"/>
      <c r="Q112" s="27"/>
      <c r="R112" s="22"/>
      <c r="S112" s="22"/>
      <c r="T112" s="16"/>
      <c r="U112" s="16"/>
      <c r="V112" s="16"/>
      <c r="W112" s="16"/>
      <c r="X112" s="16"/>
      <c r="Y112" s="16"/>
      <c r="Z112" s="16"/>
      <c r="AA112" s="16"/>
      <c r="AB112" s="22"/>
    </row>
    <row r="113" spans="1:28" x14ac:dyDescent="0.3">
      <c r="A113" s="22"/>
      <c r="B113" s="22"/>
      <c r="C113" s="22"/>
      <c r="D113" s="22"/>
      <c r="E113" s="22"/>
      <c r="F113" s="22"/>
      <c r="G113" s="22"/>
      <c r="H113" s="22"/>
      <c r="I113" s="24" t="str">
        <f t="shared" si="2"/>
        <v/>
      </c>
      <c r="J113" s="25" t="str">
        <f t="shared" si="3"/>
        <v/>
      </c>
      <c r="K113" s="22"/>
      <c r="L113" s="22"/>
      <c r="M113" s="25" t="str">
        <f>IF(AND(L113&gt;=ref!$L$2,L113&lt;=ref!$M$2),ref!$K$2,IF(AND(L113&gt;=ref!$L$3,L113&lt;=ref!$M$3),ref!$K$3,IF(AND(L113&gt;=ref!$L$4,L113&lt;=ref!$M$4),ref!$K$4,IF(AND(L113&gt;=ref!$L$5,L113&lt;=ref!$M$5),ref!$K$5,IF(AND(L113&gt;=ref!$L$6,L113&lt;=ref!$M$6),ref!$K$6,IF(AND(L113&gt;=ref!$L$7,L113&lt;=ref!$M$7),ref!$K$7,IF(AND(L113&gt;=ref!$L$8,L113&lt;=ref!$M$8),ref!$K$8,IF(AND(L113&gt;=ref!$L$9,L113&lt;=ref!$M$9),ref!$K$9,IF(AND(L113&gt;=ref!$L$11,L113&lt;=ref!$M$11),ref!$K$11,IF(AND(L113&gt;=ref!$L$12,L113&lt;=ref!$M$12),ref!$K$12,""))))))))))</f>
        <v/>
      </c>
      <c r="N113" s="22"/>
      <c r="O113" s="16"/>
      <c r="P113" s="22"/>
      <c r="Q113" s="27"/>
      <c r="R113" s="22"/>
      <c r="S113" s="22"/>
      <c r="T113" s="16"/>
      <c r="U113" s="16"/>
      <c r="V113" s="16"/>
      <c r="W113" s="16"/>
      <c r="X113" s="16"/>
      <c r="Y113" s="16"/>
      <c r="Z113" s="16"/>
      <c r="AA113" s="16"/>
      <c r="AB113" s="22"/>
    </row>
    <row r="114" spans="1:28" x14ac:dyDescent="0.3">
      <c r="A114" s="22"/>
      <c r="B114" s="22"/>
      <c r="C114" s="22"/>
      <c r="D114" s="22"/>
      <c r="E114" s="22"/>
      <c r="F114" s="22"/>
      <c r="G114" s="22"/>
      <c r="H114" s="22"/>
      <c r="I114" s="24" t="str">
        <f t="shared" si="2"/>
        <v/>
      </c>
      <c r="J114" s="25" t="str">
        <f t="shared" si="3"/>
        <v/>
      </c>
      <c r="K114" s="22"/>
      <c r="L114" s="22"/>
      <c r="M114" s="25" t="str">
        <f>IF(AND(L114&gt;=ref!$L$2,L114&lt;=ref!$M$2),ref!$K$2,IF(AND(L114&gt;=ref!$L$3,L114&lt;=ref!$M$3),ref!$K$3,IF(AND(L114&gt;=ref!$L$4,L114&lt;=ref!$M$4),ref!$K$4,IF(AND(L114&gt;=ref!$L$5,L114&lt;=ref!$M$5),ref!$K$5,IF(AND(L114&gt;=ref!$L$6,L114&lt;=ref!$M$6),ref!$K$6,IF(AND(L114&gt;=ref!$L$7,L114&lt;=ref!$M$7),ref!$K$7,IF(AND(L114&gt;=ref!$L$8,L114&lt;=ref!$M$8),ref!$K$8,IF(AND(L114&gt;=ref!$L$9,L114&lt;=ref!$M$9),ref!$K$9,IF(AND(L114&gt;=ref!$L$11,L114&lt;=ref!$M$11),ref!$K$11,IF(AND(L114&gt;=ref!$L$12,L114&lt;=ref!$M$12),ref!$K$12,""))))))))))</f>
        <v/>
      </c>
      <c r="N114" s="22"/>
      <c r="O114" s="16"/>
      <c r="P114" s="22"/>
      <c r="Q114" s="27"/>
      <c r="R114" s="22"/>
      <c r="S114" s="22"/>
      <c r="T114" s="16"/>
      <c r="U114" s="16"/>
      <c r="V114" s="16"/>
      <c r="W114" s="16"/>
      <c r="X114" s="16"/>
      <c r="Y114" s="16"/>
      <c r="Z114" s="16"/>
      <c r="AA114" s="16"/>
      <c r="AB114" s="22"/>
    </row>
    <row r="115" spans="1:28" x14ac:dyDescent="0.3">
      <c r="A115" s="22"/>
      <c r="B115" s="22"/>
      <c r="C115" s="22"/>
      <c r="D115" s="22"/>
      <c r="E115" s="22"/>
      <c r="F115" s="22"/>
      <c r="G115" s="22"/>
      <c r="H115" s="22"/>
      <c r="I115" s="24" t="str">
        <f t="shared" si="2"/>
        <v/>
      </c>
      <c r="J115" s="25" t="str">
        <f t="shared" si="3"/>
        <v/>
      </c>
      <c r="K115" s="22"/>
      <c r="L115" s="22"/>
      <c r="M115" s="25" t="str">
        <f>IF(AND(L115&gt;=ref!$L$2,L115&lt;=ref!$M$2),ref!$K$2,IF(AND(L115&gt;=ref!$L$3,L115&lt;=ref!$M$3),ref!$K$3,IF(AND(L115&gt;=ref!$L$4,L115&lt;=ref!$M$4),ref!$K$4,IF(AND(L115&gt;=ref!$L$5,L115&lt;=ref!$M$5),ref!$K$5,IF(AND(L115&gt;=ref!$L$6,L115&lt;=ref!$M$6),ref!$K$6,IF(AND(L115&gt;=ref!$L$7,L115&lt;=ref!$M$7),ref!$K$7,IF(AND(L115&gt;=ref!$L$8,L115&lt;=ref!$M$8),ref!$K$8,IF(AND(L115&gt;=ref!$L$9,L115&lt;=ref!$M$9),ref!$K$9,IF(AND(L115&gt;=ref!$L$11,L115&lt;=ref!$M$11),ref!$K$11,IF(AND(L115&gt;=ref!$L$12,L115&lt;=ref!$M$12),ref!$K$12,""))))))))))</f>
        <v/>
      </c>
      <c r="N115" s="22"/>
      <c r="O115" s="16"/>
      <c r="P115" s="22"/>
      <c r="Q115" s="27"/>
      <c r="R115" s="22"/>
      <c r="S115" s="22"/>
      <c r="T115" s="16"/>
      <c r="U115" s="16"/>
      <c r="V115" s="16"/>
      <c r="W115" s="16"/>
      <c r="X115" s="16"/>
      <c r="Y115" s="16"/>
      <c r="Z115" s="16"/>
      <c r="AA115" s="16"/>
      <c r="AB115" s="22"/>
    </row>
    <row r="116" spans="1:28" x14ac:dyDescent="0.3">
      <c r="A116" s="22"/>
      <c r="B116" s="22"/>
      <c r="C116" s="22"/>
      <c r="D116" s="22"/>
      <c r="E116" s="22"/>
      <c r="F116" s="22"/>
      <c r="G116" s="22"/>
      <c r="H116" s="22"/>
      <c r="I116" s="24" t="str">
        <f t="shared" si="2"/>
        <v/>
      </c>
      <c r="J116" s="25" t="str">
        <f t="shared" si="3"/>
        <v/>
      </c>
      <c r="K116" s="22"/>
      <c r="L116" s="22"/>
      <c r="M116" s="25" t="str">
        <f>IF(AND(L116&gt;=ref!$L$2,L116&lt;=ref!$M$2),ref!$K$2,IF(AND(L116&gt;=ref!$L$3,L116&lt;=ref!$M$3),ref!$K$3,IF(AND(L116&gt;=ref!$L$4,L116&lt;=ref!$M$4),ref!$K$4,IF(AND(L116&gt;=ref!$L$5,L116&lt;=ref!$M$5),ref!$K$5,IF(AND(L116&gt;=ref!$L$6,L116&lt;=ref!$M$6),ref!$K$6,IF(AND(L116&gt;=ref!$L$7,L116&lt;=ref!$M$7),ref!$K$7,IF(AND(L116&gt;=ref!$L$8,L116&lt;=ref!$M$8),ref!$K$8,IF(AND(L116&gt;=ref!$L$9,L116&lt;=ref!$M$9),ref!$K$9,IF(AND(L116&gt;=ref!$L$11,L116&lt;=ref!$M$11),ref!$K$11,IF(AND(L116&gt;=ref!$L$12,L116&lt;=ref!$M$12),ref!$K$12,""))))))))))</f>
        <v/>
      </c>
      <c r="N116" s="22"/>
      <c r="O116" s="16"/>
      <c r="P116" s="22"/>
      <c r="Q116" s="27"/>
      <c r="R116" s="22"/>
      <c r="S116" s="22"/>
      <c r="T116" s="16"/>
      <c r="U116" s="16"/>
      <c r="V116" s="16"/>
      <c r="W116" s="16"/>
      <c r="X116" s="16"/>
      <c r="Y116" s="16"/>
      <c r="Z116" s="16"/>
      <c r="AA116" s="16"/>
      <c r="AB116" s="22"/>
    </row>
    <row r="117" spans="1:28" x14ac:dyDescent="0.3">
      <c r="A117" s="22"/>
      <c r="B117" s="22"/>
      <c r="C117" s="22"/>
      <c r="D117" s="22"/>
      <c r="E117" s="22"/>
      <c r="F117" s="22"/>
      <c r="G117" s="22"/>
      <c r="H117" s="22"/>
      <c r="I117" s="24" t="str">
        <f t="shared" si="2"/>
        <v/>
      </c>
      <c r="J117" s="25" t="str">
        <f t="shared" si="3"/>
        <v/>
      </c>
      <c r="K117" s="22"/>
      <c r="L117" s="22"/>
      <c r="M117" s="25" t="str">
        <f>IF(AND(L117&gt;=ref!$L$2,L117&lt;=ref!$M$2),ref!$K$2,IF(AND(L117&gt;=ref!$L$3,L117&lt;=ref!$M$3),ref!$K$3,IF(AND(L117&gt;=ref!$L$4,L117&lt;=ref!$M$4),ref!$K$4,IF(AND(L117&gt;=ref!$L$5,L117&lt;=ref!$M$5),ref!$K$5,IF(AND(L117&gt;=ref!$L$6,L117&lt;=ref!$M$6),ref!$K$6,IF(AND(L117&gt;=ref!$L$7,L117&lt;=ref!$M$7),ref!$K$7,IF(AND(L117&gt;=ref!$L$8,L117&lt;=ref!$M$8),ref!$K$8,IF(AND(L117&gt;=ref!$L$9,L117&lt;=ref!$M$9),ref!$K$9,IF(AND(L117&gt;=ref!$L$11,L117&lt;=ref!$M$11),ref!$K$11,IF(AND(L117&gt;=ref!$L$12,L117&lt;=ref!$M$12),ref!$K$12,""))))))))))</f>
        <v/>
      </c>
      <c r="N117" s="22"/>
      <c r="O117" s="16"/>
      <c r="P117" s="22"/>
      <c r="Q117" s="27"/>
      <c r="R117" s="22"/>
      <c r="S117" s="22"/>
      <c r="T117" s="16"/>
      <c r="U117" s="16"/>
      <c r="V117" s="16"/>
      <c r="W117" s="16"/>
      <c r="X117" s="16"/>
      <c r="Y117" s="16"/>
      <c r="Z117" s="16"/>
      <c r="AA117" s="16"/>
      <c r="AB117" s="22"/>
    </row>
    <row r="118" spans="1:28" x14ac:dyDescent="0.3">
      <c r="A118" s="22"/>
      <c r="B118" s="22"/>
      <c r="C118" s="22"/>
      <c r="D118" s="22"/>
      <c r="E118" s="22"/>
      <c r="F118" s="22"/>
      <c r="G118" s="22"/>
      <c r="H118" s="22"/>
      <c r="I118" s="24" t="str">
        <f t="shared" si="2"/>
        <v/>
      </c>
      <c r="J118" s="25" t="str">
        <f t="shared" si="3"/>
        <v/>
      </c>
      <c r="K118" s="22"/>
      <c r="L118" s="22"/>
      <c r="M118" s="25" t="str">
        <f>IF(AND(L118&gt;=ref!$L$2,L118&lt;=ref!$M$2),ref!$K$2,IF(AND(L118&gt;=ref!$L$3,L118&lt;=ref!$M$3),ref!$K$3,IF(AND(L118&gt;=ref!$L$4,L118&lt;=ref!$M$4),ref!$K$4,IF(AND(L118&gt;=ref!$L$5,L118&lt;=ref!$M$5),ref!$K$5,IF(AND(L118&gt;=ref!$L$6,L118&lt;=ref!$M$6),ref!$K$6,IF(AND(L118&gt;=ref!$L$7,L118&lt;=ref!$M$7),ref!$K$7,IF(AND(L118&gt;=ref!$L$8,L118&lt;=ref!$M$8),ref!$K$8,IF(AND(L118&gt;=ref!$L$9,L118&lt;=ref!$M$9),ref!$K$9,IF(AND(L118&gt;=ref!$L$11,L118&lt;=ref!$M$11),ref!$K$11,IF(AND(L118&gt;=ref!$L$12,L118&lt;=ref!$M$12),ref!$K$12,""))))))))))</f>
        <v/>
      </c>
      <c r="N118" s="22"/>
      <c r="O118" s="16"/>
      <c r="P118" s="22"/>
      <c r="Q118" s="27"/>
      <c r="R118" s="22"/>
      <c r="S118" s="22"/>
      <c r="T118" s="16"/>
      <c r="U118" s="16"/>
      <c r="V118" s="16"/>
      <c r="W118" s="16"/>
      <c r="X118" s="16"/>
      <c r="Y118" s="16"/>
      <c r="Z118" s="16"/>
      <c r="AA118" s="16"/>
      <c r="AB118" s="22"/>
    </row>
    <row r="119" spans="1:28" x14ac:dyDescent="0.3">
      <c r="A119" s="22"/>
      <c r="B119" s="22"/>
      <c r="C119" s="22"/>
      <c r="D119" s="22"/>
      <c r="E119" s="22"/>
      <c r="F119" s="22"/>
      <c r="G119" s="22"/>
      <c r="H119" s="22"/>
      <c r="I119" s="24" t="str">
        <f t="shared" si="2"/>
        <v/>
      </c>
      <c r="J119" s="25" t="str">
        <f t="shared" si="3"/>
        <v/>
      </c>
      <c r="K119" s="22"/>
      <c r="L119" s="22"/>
      <c r="M119" s="25" t="str">
        <f>IF(AND(L119&gt;=ref!$L$2,L119&lt;=ref!$M$2),ref!$K$2,IF(AND(L119&gt;=ref!$L$3,L119&lt;=ref!$M$3),ref!$K$3,IF(AND(L119&gt;=ref!$L$4,L119&lt;=ref!$M$4),ref!$K$4,IF(AND(L119&gt;=ref!$L$5,L119&lt;=ref!$M$5),ref!$K$5,IF(AND(L119&gt;=ref!$L$6,L119&lt;=ref!$M$6),ref!$K$6,IF(AND(L119&gt;=ref!$L$7,L119&lt;=ref!$M$7),ref!$K$7,IF(AND(L119&gt;=ref!$L$8,L119&lt;=ref!$M$8),ref!$K$8,IF(AND(L119&gt;=ref!$L$9,L119&lt;=ref!$M$9),ref!$K$9,IF(AND(L119&gt;=ref!$L$11,L119&lt;=ref!$M$11),ref!$K$11,IF(AND(L119&gt;=ref!$L$12,L119&lt;=ref!$M$12),ref!$K$12,""))))))))))</f>
        <v/>
      </c>
      <c r="N119" s="22"/>
      <c r="O119" s="16"/>
      <c r="P119" s="22"/>
      <c r="Q119" s="27"/>
      <c r="R119" s="22"/>
      <c r="S119" s="22"/>
      <c r="T119" s="16"/>
      <c r="U119" s="16"/>
      <c r="V119" s="16"/>
      <c r="W119" s="16"/>
      <c r="X119" s="16"/>
      <c r="Y119" s="16"/>
      <c r="Z119" s="16"/>
      <c r="AA119" s="16"/>
      <c r="AB119" s="22"/>
    </row>
    <row r="120" spans="1:28" x14ac:dyDescent="0.3">
      <c r="A120" s="22"/>
      <c r="B120" s="22"/>
      <c r="C120" s="22"/>
      <c r="D120" s="22"/>
      <c r="E120" s="22"/>
      <c r="F120" s="22"/>
      <c r="G120" s="22"/>
      <c r="H120" s="22"/>
      <c r="I120" s="24" t="str">
        <f t="shared" si="2"/>
        <v/>
      </c>
      <c r="J120" s="25" t="str">
        <f t="shared" si="3"/>
        <v/>
      </c>
      <c r="K120" s="22"/>
      <c r="L120" s="22"/>
      <c r="M120" s="25" t="str">
        <f>IF(AND(L120&gt;=ref!$L$2,L120&lt;=ref!$M$2),ref!$K$2,IF(AND(L120&gt;=ref!$L$3,L120&lt;=ref!$M$3),ref!$K$3,IF(AND(L120&gt;=ref!$L$4,L120&lt;=ref!$M$4),ref!$K$4,IF(AND(L120&gt;=ref!$L$5,L120&lt;=ref!$M$5),ref!$K$5,IF(AND(L120&gt;=ref!$L$6,L120&lt;=ref!$M$6),ref!$K$6,IF(AND(L120&gt;=ref!$L$7,L120&lt;=ref!$M$7),ref!$K$7,IF(AND(L120&gt;=ref!$L$8,L120&lt;=ref!$M$8),ref!$K$8,IF(AND(L120&gt;=ref!$L$9,L120&lt;=ref!$M$9),ref!$K$9,IF(AND(L120&gt;=ref!$L$11,L120&lt;=ref!$M$11),ref!$K$11,IF(AND(L120&gt;=ref!$L$12,L120&lt;=ref!$M$12),ref!$K$12,""))))))))))</f>
        <v/>
      </c>
      <c r="N120" s="22"/>
      <c r="O120" s="16"/>
      <c r="P120" s="22"/>
      <c r="Q120" s="27"/>
      <c r="R120" s="22"/>
      <c r="S120" s="22"/>
      <c r="T120" s="16"/>
      <c r="U120" s="16"/>
      <c r="V120" s="16"/>
      <c r="W120" s="16"/>
      <c r="X120" s="16"/>
      <c r="Y120" s="16"/>
      <c r="Z120" s="16"/>
      <c r="AA120" s="16"/>
      <c r="AB120" s="22"/>
    </row>
    <row r="121" spans="1:28" x14ac:dyDescent="0.3">
      <c r="A121" s="22"/>
      <c r="B121" s="22"/>
      <c r="C121" s="22"/>
      <c r="D121" s="22"/>
      <c r="E121" s="22"/>
      <c r="F121" s="22"/>
      <c r="G121" s="22"/>
      <c r="H121" s="22"/>
      <c r="I121" s="24" t="str">
        <f t="shared" si="2"/>
        <v/>
      </c>
      <c r="J121" s="25" t="str">
        <f t="shared" si="3"/>
        <v/>
      </c>
      <c r="K121" s="22"/>
      <c r="L121" s="22"/>
      <c r="M121" s="25" t="str">
        <f>IF(AND(L121&gt;=ref!$L$2,L121&lt;=ref!$M$2),ref!$K$2,IF(AND(L121&gt;=ref!$L$3,L121&lt;=ref!$M$3),ref!$K$3,IF(AND(L121&gt;=ref!$L$4,L121&lt;=ref!$M$4),ref!$K$4,IF(AND(L121&gt;=ref!$L$5,L121&lt;=ref!$M$5),ref!$K$5,IF(AND(L121&gt;=ref!$L$6,L121&lt;=ref!$M$6),ref!$K$6,IF(AND(L121&gt;=ref!$L$7,L121&lt;=ref!$M$7),ref!$K$7,IF(AND(L121&gt;=ref!$L$8,L121&lt;=ref!$M$8),ref!$K$8,IF(AND(L121&gt;=ref!$L$9,L121&lt;=ref!$M$9),ref!$K$9,IF(AND(L121&gt;=ref!$L$11,L121&lt;=ref!$M$11),ref!$K$11,IF(AND(L121&gt;=ref!$L$12,L121&lt;=ref!$M$12),ref!$K$12,""))))))))))</f>
        <v/>
      </c>
      <c r="N121" s="22"/>
      <c r="O121" s="16"/>
      <c r="P121" s="22"/>
      <c r="Q121" s="27"/>
      <c r="R121" s="22"/>
      <c r="S121" s="22"/>
      <c r="T121" s="16"/>
      <c r="U121" s="16"/>
      <c r="V121" s="16"/>
      <c r="W121" s="16"/>
      <c r="X121" s="16"/>
      <c r="Y121" s="16"/>
      <c r="Z121" s="16"/>
      <c r="AA121" s="16"/>
      <c r="AB121" s="22"/>
    </row>
    <row r="122" spans="1:28" x14ac:dyDescent="0.3">
      <c r="A122" s="22"/>
      <c r="B122" s="22"/>
      <c r="C122" s="22"/>
      <c r="D122" s="22"/>
      <c r="E122" s="22"/>
      <c r="F122" s="22"/>
      <c r="G122" s="22"/>
      <c r="H122" s="22"/>
      <c r="I122" s="24" t="str">
        <f t="shared" si="2"/>
        <v/>
      </c>
      <c r="J122" s="25" t="str">
        <f t="shared" si="3"/>
        <v/>
      </c>
      <c r="K122" s="22"/>
      <c r="L122" s="22"/>
      <c r="M122" s="25" t="str">
        <f>IF(AND(L122&gt;=ref!$L$2,L122&lt;=ref!$M$2),ref!$K$2,IF(AND(L122&gt;=ref!$L$3,L122&lt;=ref!$M$3),ref!$K$3,IF(AND(L122&gt;=ref!$L$4,L122&lt;=ref!$M$4),ref!$K$4,IF(AND(L122&gt;=ref!$L$5,L122&lt;=ref!$M$5),ref!$K$5,IF(AND(L122&gt;=ref!$L$6,L122&lt;=ref!$M$6),ref!$K$6,IF(AND(L122&gt;=ref!$L$7,L122&lt;=ref!$M$7),ref!$K$7,IF(AND(L122&gt;=ref!$L$8,L122&lt;=ref!$M$8),ref!$K$8,IF(AND(L122&gt;=ref!$L$9,L122&lt;=ref!$M$9),ref!$K$9,IF(AND(L122&gt;=ref!$L$11,L122&lt;=ref!$M$11),ref!$K$11,IF(AND(L122&gt;=ref!$L$12,L122&lt;=ref!$M$12),ref!$K$12,""))))))))))</f>
        <v/>
      </c>
      <c r="N122" s="22"/>
      <c r="O122" s="16"/>
      <c r="P122" s="22"/>
      <c r="Q122" s="27"/>
      <c r="R122" s="22"/>
      <c r="S122" s="22"/>
      <c r="T122" s="16"/>
      <c r="U122" s="16"/>
      <c r="V122" s="16"/>
      <c r="W122" s="16"/>
      <c r="X122" s="16"/>
      <c r="Y122" s="16"/>
      <c r="Z122" s="16"/>
      <c r="AA122" s="16"/>
      <c r="AB122" s="22"/>
    </row>
    <row r="123" spans="1:28" x14ac:dyDescent="0.3">
      <c r="A123" s="22"/>
      <c r="B123" s="22"/>
      <c r="C123" s="22"/>
      <c r="D123" s="22"/>
      <c r="E123" s="22"/>
      <c r="F123" s="22"/>
      <c r="G123" s="22"/>
      <c r="H123" s="22"/>
      <c r="I123" s="24" t="str">
        <f t="shared" si="2"/>
        <v/>
      </c>
      <c r="J123" s="25" t="str">
        <f t="shared" si="3"/>
        <v/>
      </c>
      <c r="K123" s="22"/>
      <c r="L123" s="22"/>
      <c r="M123" s="25" t="str">
        <f>IF(AND(L123&gt;=ref!$L$2,L123&lt;=ref!$M$2),ref!$K$2,IF(AND(L123&gt;=ref!$L$3,L123&lt;=ref!$M$3),ref!$K$3,IF(AND(L123&gt;=ref!$L$4,L123&lt;=ref!$M$4),ref!$K$4,IF(AND(L123&gt;=ref!$L$5,L123&lt;=ref!$M$5),ref!$K$5,IF(AND(L123&gt;=ref!$L$6,L123&lt;=ref!$M$6),ref!$K$6,IF(AND(L123&gt;=ref!$L$7,L123&lt;=ref!$M$7),ref!$K$7,IF(AND(L123&gt;=ref!$L$8,L123&lt;=ref!$M$8),ref!$K$8,IF(AND(L123&gt;=ref!$L$9,L123&lt;=ref!$M$9),ref!$K$9,IF(AND(L123&gt;=ref!$L$11,L123&lt;=ref!$M$11),ref!$K$11,IF(AND(L123&gt;=ref!$L$12,L123&lt;=ref!$M$12),ref!$K$12,""))))))))))</f>
        <v/>
      </c>
      <c r="N123" s="22"/>
      <c r="O123" s="16"/>
      <c r="P123" s="22"/>
      <c r="Q123" s="27"/>
      <c r="R123" s="22"/>
      <c r="S123" s="22"/>
      <c r="T123" s="16"/>
      <c r="U123" s="16"/>
      <c r="V123" s="16"/>
      <c r="W123" s="16"/>
      <c r="X123" s="16"/>
      <c r="Y123" s="16"/>
      <c r="Z123" s="16"/>
      <c r="AA123" s="16"/>
      <c r="AB123" s="22"/>
    </row>
    <row r="124" spans="1:28" x14ac:dyDescent="0.3">
      <c r="A124" s="22"/>
      <c r="B124" s="22"/>
      <c r="C124" s="22"/>
      <c r="D124" s="22"/>
      <c r="E124" s="22"/>
      <c r="F124" s="22"/>
      <c r="G124" s="22"/>
      <c r="H124" s="22"/>
      <c r="I124" s="24" t="str">
        <f t="shared" si="2"/>
        <v/>
      </c>
      <c r="J124" s="25" t="str">
        <f t="shared" si="3"/>
        <v/>
      </c>
      <c r="K124" s="22"/>
      <c r="L124" s="22"/>
      <c r="M124" s="25" t="str">
        <f>IF(AND(L124&gt;=ref!$L$2,L124&lt;=ref!$M$2),ref!$K$2,IF(AND(L124&gt;=ref!$L$3,L124&lt;=ref!$M$3),ref!$K$3,IF(AND(L124&gt;=ref!$L$4,L124&lt;=ref!$M$4),ref!$K$4,IF(AND(L124&gt;=ref!$L$5,L124&lt;=ref!$M$5),ref!$K$5,IF(AND(L124&gt;=ref!$L$6,L124&lt;=ref!$M$6),ref!$K$6,IF(AND(L124&gt;=ref!$L$7,L124&lt;=ref!$M$7),ref!$K$7,IF(AND(L124&gt;=ref!$L$8,L124&lt;=ref!$M$8),ref!$K$8,IF(AND(L124&gt;=ref!$L$9,L124&lt;=ref!$M$9),ref!$K$9,IF(AND(L124&gt;=ref!$L$11,L124&lt;=ref!$M$11),ref!$K$11,IF(AND(L124&gt;=ref!$L$12,L124&lt;=ref!$M$12),ref!$K$12,""))))))))))</f>
        <v/>
      </c>
      <c r="N124" s="22"/>
      <c r="O124" s="16"/>
      <c r="P124" s="22"/>
      <c r="Q124" s="27"/>
      <c r="R124" s="22"/>
      <c r="S124" s="22"/>
      <c r="T124" s="16"/>
      <c r="U124" s="16"/>
      <c r="V124" s="16"/>
      <c r="W124" s="16"/>
      <c r="X124" s="16"/>
      <c r="Y124" s="16"/>
      <c r="Z124" s="16"/>
      <c r="AA124" s="16"/>
      <c r="AB124" s="22"/>
    </row>
    <row r="125" spans="1:28" x14ac:dyDescent="0.3">
      <c r="A125" s="22"/>
      <c r="B125" s="22"/>
      <c r="C125" s="22"/>
      <c r="D125" s="22"/>
      <c r="E125" s="22"/>
      <c r="F125" s="22"/>
      <c r="G125" s="22"/>
      <c r="H125" s="22"/>
      <c r="I125" s="24" t="str">
        <f t="shared" si="2"/>
        <v/>
      </c>
      <c r="J125" s="25" t="str">
        <f t="shared" si="3"/>
        <v/>
      </c>
      <c r="K125" s="22"/>
      <c r="L125" s="22"/>
      <c r="M125" s="25" t="str">
        <f>IF(AND(L125&gt;=ref!$L$2,L125&lt;=ref!$M$2),ref!$K$2,IF(AND(L125&gt;=ref!$L$3,L125&lt;=ref!$M$3),ref!$K$3,IF(AND(L125&gt;=ref!$L$4,L125&lt;=ref!$M$4),ref!$K$4,IF(AND(L125&gt;=ref!$L$5,L125&lt;=ref!$M$5),ref!$K$5,IF(AND(L125&gt;=ref!$L$6,L125&lt;=ref!$M$6),ref!$K$6,IF(AND(L125&gt;=ref!$L$7,L125&lt;=ref!$M$7),ref!$K$7,IF(AND(L125&gt;=ref!$L$8,L125&lt;=ref!$M$8),ref!$K$8,IF(AND(L125&gt;=ref!$L$9,L125&lt;=ref!$M$9),ref!$K$9,IF(AND(L125&gt;=ref!$L$11,L125&lt;=ref!$M$11),ref!$K$11,IF(AND(L125&gt;=ref!$L$12,L125&lt;=ref!$M$12),ref!$K$12,""))))))))))</f>
        <v/>
      </c>
      <c r="N125" s="22"/>
      <c r="O125" s="16"/>
      <c r="P125" s="22"/>
      <c r="Q125" s="27"/>
      <c r="R125" s="22"/>
      <c r="S125" s="22"/>
      <c r="T125" s="16"/>
      <c r="U125" s="16"/>
      <c r="V125" s="16"/>
      <c r="W125" s="16"/>
      <c r="X125" s="16"/>
      <c r="Y125" s="16"/>
      <c r="Z125" s="16"/>
      <c r="AA125" s="16"/>
      <c r="AB125" s="22"/>
    </row>
    <row r="126" spans="1:28" x14ac:dyDescent="0.3">
      <c r="A126" s="22"/>
      <c r="B126" s="22"/>
      <c r="C126" s="22"/>
      <c r="D126" s="22"/>
      <c r="E126" s="22"/>
      <c r="F126" s="22"/>
      <c r="G126" s="22"/>
      <c r="H126" s="22"/>
      <c r="I126" s="24" t="str">
        <f t="shared" si="2"/>
        <v/>
      </c>
      <c r="J126" s="25" t="str">
        <f t="shared" si="3"/>
        <v/>
      </c>
      <c r="K126" s="22"/>
      <c r="L126" s="22"/>
      <c r="M126" s="25" t="str">
        <f>IF(AND(L126&gt;=ref!$L$2,L126&lt;=ref!$M$2),ref!$K$2,IF(AND(L126&gt;=ref!$L$3,L126&lt;=ref!$M$3),ref!$K$3,IF(AND(L126&gt;=ref!$L$4,L126&lt;=ref!$M$4),ref!$K$4,IF(AND(L126&gt;=ref!$L$5,L126&lt;=ref!$M$5),ref!$K$5,IF(AND(L126&gt;=ref!$L$6,L126&lt;=ref!$M$6),ref!$K$6,IF(AND(L126&gt;=ref!$L$7,L126&lt;=ref!$M$7),ref!$K$7,IF(AND(L126&gt;=ref!$L$8,L126&lt;=ref!$M$8),ref!$K$8,IF(AND(L126&gt;=ref!$L$9,L126&lt;=ref!$M$9),ref!$K$9,IF(AND(L126&gt;=ref!$L$11,L126&lt;=ref!$M$11),ref!$K$11,IF(AND(L126&gt;=ref!$L$12,L126&lt;=ref!$M$12),ref!$K$12,""))))))))))</f>
        <v/>
      </c>
      <c r="N126" s="22"/>
      <c r="O126" s="16"/>
      <c r="P126" s="22"/>
      <c r="Q126" s="27"/>
      <c r="R126" s="22"/>
      <c r="S126" s="22"/>
      <c r="T126" s="16"/>
      <c r="U126" s="16"/>
      <c r="V126" s="16"/>
      <c r="W126" s="16"/>
      <c r="X126" s="16"/>
      <c r="Y126" s="16"/>
      <c r="Z126" s="16"/>
      <c r="AA126" s="16"/>
      <c r="AB126" s="22"/>
    </row>
    <row r="127" spans="1:28" x14ac:dyDescent="0.3">
      <c r="A127" s="22"/>
      <c r="B127" s="22"/>
      <c r="C127" s="22"/>
      <c r="D127" s="22"/>
      <c r="E127" s="22"/>
      <c r="F127" s="22"/>
      <c r="G127" s="22"/>
      <c r="H127" s="22"/>
      <c r="I127" s="24" t="str">
        <f t="shared" si="2"/>
        <v/>
      </c>
      <c r="J127" s="25" t="str">
        <f t="shared" si="3"/>
        <v/>
      </c>
      <c r="K127" s="22"/>
      <c r="L127" s="22"/>
      <c r="M127" s="25" t="str">
        <f>IF(AND(L127&gt;=ref!$L$2,L127&lt;=ref!$M$2),ref!$K$2,IF(AND(L127&gt;=ref!$L$3,L127&lt;=ref!$M$3),ref!$K$3,IF(AND(L127&gt;=ref!$L$4,L127&lt;=ref!$M$4),ref!$K$4,IF(AND(L127&gt;=ref!$L$5,L127&lt;=ref!$M$5),ref!$K$5,IF(AND(L127&gt;=ref!$L$6,L127&lt;=ref!$M$6),ref!$K$6,IF(AND(L127&gt;=ref!$L$7,L127&lt;=ref!$M$7),ref!$K$7,IF(AND(L127&gt;=ref!$L$8,L127&lt;=ref!$M$8),ref!$K$8,IF(AND(L127&gt;=ref!$L$9,L127&lt;=ref!$M$9),ref!$K$9,IF(AND(L127&gt;=ref!$L$11,L127&lt;=ref!$M$11),ref!$K$11,IF(AND(L127&gt;=ref!$L$12,L127&lt;=ref!$M$12),ref!$K$12,""))))))))))</f>
        <v/>
      </c>
      <c r="N127" s="22"/>
      <c r="O127" s="16"/>
      <c r="P127" s="22"/>
      <c r="Q127" s="27"/>
      <c r="R127" s="22"/>
      <c r="S127" s="22"/>
      <c r="T127" s="16"/>
      <c r="U127" s="16"/>
      <c r="V127" s="16"/>
      <c r="W127" s="16"/>
      <c r="X127" s="16"/>
      <c r="Y127" s="16"/>
      <c r="Z127" s="16"/>
      <c r="AA127" s="16"/>
      <c r="AB127" s="22"/>
    </row>
    <row r="128" spans="1:28" x14ac:dyDescent="0.3">
      <c r="A128" s="22"/>
      <c r="B128" s="22"/>
      <c r="C128" s="22"/>
      <c r="D128" s="22"/>
      <c r="E128" s="22"/>
      <c r="F128" s="22"/>
      <c r="G128" s="22"/>
      <c r="H128" s="22"/>
      <c r="I128" s="24" t="str">
        <f t="shared" si="2"/>
        <v/>
      </c>
      <c r="J128" s="25" t="str">
        <f t="shared" si="3"/>
        <v/>
      </c>
      <c r="K128" s="22"/>
      <c r="L128" s="22"/>
      <c r="M128" s="25" t="str">
        <f>IF(AND(L128&gt;=ref!$L$2,L128&lt;=ref!$M$2),ref!$K$2,IF(AND(L128&gt;=ref!$L$3,L128&lt;=ref!$M$3),ref!$K$3,IF(AND(L128&gt;=ref!$L$4,L128&lt;=ref!$M$4),ref!$K$4,IF(AND(L128&gt;=ref!$L$5,L128&lt;=ref!$M$5),ref!$K$5,IF(AND(L128&gt;=ref!$L$6,L128&lt;=ref!$M$6),ref!$K$6,IF(AND(L128&gt;=ref!$L$7,L128&lt;=ref!$M$7),ref!$K$7,IF(AND(L128&gt;=ref!$L$8,L128&lt;=ref!$M$8),ref!$K$8,IF(AND(L128&gt;=ref!$L$9,L128&lt;=ref!$M$9),ref!$K$9,IF(AND(L128&gt;=ref!$L$11,L128&lt;=ref!$M$11),ref!$K$11,IF(AND(L128&gt;=ref!$L$12,L128&lt;=ref!$M$12),ref!$K$12,""))))))))))</f>
        <v/>
      </c>
      <c r="N128" s="22"/>
      <c r="O128" s="16"/>
      <c r="P128" s="22"/>
      <c r="Q128" s="27"/>
      <c r="R128" s="22"/>
      <c r="S128" s="22"/>
      <c r="T128" s="16"/>
      <c r="U128" s="16"/>
      <c r="V128" s="16"/>
      <c r="W128" s="16"/>
      <c r="X128" s="16"/>
      <c r="Y128" s="16"/>
      <c r="Z128" s="16"/>
      <c r="AA128" s="16"/>
      <c r="AB128" s="22"/>
    </row>
    <row r="129" spans="1:28" x14ac:dyDescent="0.3">
      <c r="A129" s="22"/>
      <c r="B129" s="22"/>
      <c r="C129" s="22"/>
      <c r="D129" s="22"/>
      <c r="E129" s="22"/>
      <c r="F129" s="22"/>
      <c r="G129" s="22"/>
      <c r="H129" s="22"/>
      <c r="I129" s="24" t="str">
        <f t="shared" si="2"/>
        <v/>
      </c>
      <c r="J129" s="25" t="str">
        <f t="shared" si="3"/>
        <v/>
      </c>
      <c r="K129" s="22"/>
      <c r="L129" s="22"/>
      <c r="M129" s="25" t="str">
        <f>IF(AND(L129&gt;=ref!$L$2,L129&lt;=ref!$M$2),ref!$K$2,IF(AND(L129&gt;=ref!$L$3,L129&lt;=ref!$M$3),ref!$K$3,IF(AND(L129&gt;=ref!$L$4,L129&lt;=ref!$M$4),ref!$K$4,IF(AND(L129&gt;=ref!$L$5,L129&lt;=ref!$M$5),ref!$K$5,IF(AND(L129&gt;=ref!$L$6,L129&lt;=ref!$M$6),ref!$K$6,IF(AND(L129&gt;=ref!$L$7,L129&lt;=ref!$M$7),ref!$K$7,IF(AND(L129&gt;=ref!$L$8,L129&lt;=ref!$M$8),ref!$K$8,IF(AND(L129&gt;=ref!$L$9,L129&lt;=ref!$M$9),ref!$K$9,IF(AND(L129&gt;=ref!$L$11,L129&lt;=ref!$M$11),ref!$K$11,IF(AND(L129&gt;=ref!$L$12,L129&lt;=ref!$M$12),ref!$K$12,""))))))))))</f>
        <v/>
      </c>
      <c r="N129" s="22"/>
      <c r="O129" s="16"/>
      <c r="P129" s="22"/>
      <c r="Q129" s="27"/>
      <c r="R129" s="22"/>
      <c r="S129" s="22"/>
      <c r="T129" s="16"/>
      <c r="U129" s="16"/>
      <c r="V129" s="16"/>
      <c r="W129" s="16"/>
      <c r="X129" s="16"/>
      <c r="Y129" s="16"/>
      <c r="Z129" s="16"/>
      <c r="AA129" s="16"/>
      <c r="AB129" s="22"/>
    </row>
    <row r="130" spans="1:28" x14ac:dyDescent="0.3">
      <c r="A130" s="22"/>
      <c r="B130" s="22"/>
      <c r="C130" s="22"/>
      <c r="D130" s="22"/>
      <c r="E130" s="22"/>
      <c r="F130" s="22"/>
      <c r="G130" s="22"/>
      <c r="H130" s="22"/>
      <c r="I130" s="24" t="str">
        <f t="shared" si="2"/>
        <v/>
      </c>
      <c r="J130" s="25" t="str">
        <f t="shared" si="3"/>
        <v/>
      </c>
      <c r="K130" s="22"/>
      <c r="L130" s="22"/>
      <c r="M130" s="25" t="str">
        <f>IF(AND(L130&gt;=ref!$L$2,L130&lt;=ref!$M$2),ref!$K$2,IF(AND(L130&gt;=ref!$L$3,L130&lt;=ref!$M$3),ref!$K$3,IF(AND(L130&gt;=ref!$L$4,L130&lt;=ref!$M$4),ref!$K$4,IF(AND(L130&gt;=ref!$L$5,L130&lt;=ref!$M$5),ref!$K$5,IF(AND(L130&gt;=ref!$L$6,L130&lt;=ref!$M$6),ref!$K$6,IF(AND(L130&gt;=ref!$L$7,L130&lt;=ref!$M$7),ref!$K$7,IF(AND(L130&gt;=ref!$L$8,L130&lt;=ref!$M$8),ref!$K$8,IF(AND(L130&gt;=ref!$L$9,L130&lt;=ref!$M$9),ref!$K$9,IF(AND(L130&gt;=ref!$L$11,L130&lt;=ref!$M$11),ref!$K$11,IF(AND(L130&gt;=ref!$L$12,L130&lt;=ref!$M$12),ref!$K$12,""))))))))))</f>
        <v/>
      </c>
      <c r="N130" s="22"/>
      <c r="O130" s="16"/>
      <c r="P130" s="22"/>
      <c r="Q130" s="27"/>
      <c r="R130" s="22"/>
      <c r="S130" s="22"/>
      <c r="T130" s="16"/>
      <c r="U130" s="16"/>
      <c r="V130" s="16"/>
      <c r="W130" s="16"/>
      <c r="X130" s="16"/>
      <c r="Y130" s="16"/>
      <c r="Z130" s="16"/>
      <c r="AA130" s="16"/>
      <c r="AB130" s="22"/>
    </row>
    <row r="131" spans="1:28" x14ac:dyDescent="0.3">
      <c r="A131" s="22"/>
      <c r="B131" s="22"/>
      <c r="C131" s="22"/>
      <c r="D131" s="22"/>
      <c r="E131" s="22"/>
      <c r="F131" s="22"/>
      <c r="G131" s="22"/>
      <c r="H131" s="22"/>
      <c r="I131" s="24" t="str">
        <f t="shared" si="2"/>
        <v/>
      </c>
      <c r="J131" s="25" t="str">
        <f t="shared" si="3"/>
        <v/>
      </c>
      <c r="K131" s="22"/>
      <c r="L131" s="22"/>
      <c r="M131" s="25" t="str">
        <f>IF(AND(L131&gt;=ref!$L$2,L131&lt;=ref!$M$2),ref!$K$2,IF(AND(L131&gt;=ref!$L$3,L131&lt;=ref!$M$3),ref!$K$3,IF(AND(L131&gt;=ref!$L$4,L131&lt;=ref!$M$4),ref!$K$4,IF(AND(L131&gt;=ref!$L$5,L131&lt;=ref!$M$5),ref!$K$5,IF(AND(L131&gt;=ref!$L$6,L131&lt;=ref!$M$6),ref!$K$6,IF(AND(L131&gt;=ref!$L$7,L131&lt;=ref!$M$7),ref!$K$7,IF(AND(L131&gt;=ref!$L$8,L131&lt;=ref!$M$8),ref!$K$8,IF(AND(L131&gt;=ref!$L$9,L131&lt;=ref!$M$9),ref!$K$9,IF(AND(L131&gt;=ref!$L$11,L131&lt;=ref!$M$11),ref!$K$11,IF(AND(L131&gt;=ref!$L$12,L131&lt;=ref!$M$12),ref!$K$12,""))))))))))</f>
        <v/>
      </c>
      <c r="N131" s="22"/>
      <c r="O131" s="16"/>
      <c r="P131" s="22"/>
      <c r="Q131" s="27"/>
      <c r="R131" s="22"/>
      <c r="S131" s="22"/>
      <c r="T131" s="16"/>
      <c r="U131" s="16"/>
      <c r="V131" s="16"/>
      <c r="W131" s="16"/>
      <c r="X131" s="16"/>
      <c r="Y131" s="16"/>
      <c r="Z131" s="16"/>
      <c r="AA131" s="16"/>
      <c r="AB131" s="22"/>
    </row>
    <row r="132" spans="1:28" x14ac:dyDescent="0.3">
      <c r="A132" s="22"/>
      <c r="B132" s="22"/>
      <c r="C132" s="22"/>
      <c r="D132" s="22"/>
      <c r="E132" s="22"/>
      <c r="F132" s="22"/>
      <c r="G132" s="22"/>
      <c r="H132" s="22"/>
      <c r="I132" s="24" t="str">
        <f t="shared" si="2"/>
        <v/>
      </c>
      <c r="J132" s="25" t="str">
        <f t="shared" si="3"/>
        <v/>
      </c>
      <c r="K132" s="22"/>
      <c r="L132" s="22"/>
      <c r="M132" s="25" t="str">
        <f>IF(AND(L132&gt;=ref!$L$2,L132&lt;=ref!$M$2),ref!$K$2,IF(AND(L132&gt;=ref!$L$3,L132&lt;=ref!$M$3),ref!$K$3,IF(AND(L132&gt;=ref!$L$4,L132&lt;=ref!$M$4),ref!$K$4,IF(AND(L132&gt;=ref!$L$5,L132&lt;=ref!$M$5),ref!$K$5,IF(AND(L132&gt;=ref!$L$6,L132&lt;=ref!$M$6),ref!$K$6,IF(AND(L132&gt;=ref!$L$7,L132&lt;=ref!$M$7),ref!$K$7,IF(AND(L132&gt;=ref!$L$8,L132&lt;=ref!$M$8),ref!$K$8,IF(AND(L132&gt;=ref!$L$9,L132&lt;=ref!$M$9),ref!$K$9,IF(AND(L132&gt;=ref!$L$11,L132&lt;=ref!$M$11),ref!$K$11,IF(AND(L132&gt;=ref!$L$12,L132&lt;=ref!$M$12),ref!$K$12,""))))))))))</f>
        <v/>
      </c>
      <c r="N132" s="22"/>
      <c r="O132" s="16"/>
      <c r="P132" s="22"/>
      <c r="Q132" s="27"/>
      <c r="R132" s="22"/>
      <c r="S132" s="22"/>
      <c r="T132" s="16"/>
      <c r="U132" s="16"/>
      <c r="V132" s="16"/>
      <c r="W132" s="16"/>
      <c r="X132" s="16"/>
      <c r="Y132" s="16"/>
      <c r="Z132" s="16"/>
      <c r="AA132" s="16"/>
      <c r="AB132" s="22"/>
    </row>
    <row r="133" spans="1:28" x14ac:dyDescent="0.3">
      <c r="A133" s="22"/>
      <c r="B133" s="22"/>
      <c r="C133" s="22"/>
      <c r="D133" s="22"/>
      <c r="E133" s="22"/>
      <c r="F133" s="22"/>
      <c r="G133" s="22"/>
      <c r="H133" s="22"/>
      <c r="I133" s="24" t="str">
        <f t="shared" si="2"/>
        <v/>
      </c>
      <c r="J133" s="25" t="str">
        <f t="shared" si="3"/>
        <v/>
      </c>
      <c r="K133" s="22"/>
      <c r="L133" s="22"/>
      <c r="M133" s="25" t="str">
        <f>IF(AND(L133&gt;=ref!$L$2,L133&lt;=ref!$M$2),ref!$K$2,IF(AND(L133&gt;=ref!$L$3,L133&lt;=ref!$M$3),ref!$K$3,IF(AND(L133&gt;=ref!$L$4,L133&lt;=ref!$M$4),ref!$K$4,IF(AND(L133&gt;=ref!$L$5,L133&lt;=ref!$M$5),ref!$K$5,IF(AND(L133&gt;=ref!$L$6,L133&lt;=ref!$M$6),ref!$K$6,IF(AND(L133&gt;=ref!$L$7,L133&lt;=ref!$M$7),ref!$K$7,IF(AND(L133&gt;=ref!$L$8,L133&lt;=ref!$M$8),ref!$K$8,IF(AND(L133&gt;=ref!$L$9,L133&lt;=ref!$M$9),ref!$K$9,IF(AND(L133&gt;=ref!$L$11,L133&lt;=ref!$M$11),ref!$K$11,IF(AND(L133&gt;=ref!$L$12,L133&lt;=ref!$M$12),ref!$K$12,""))))))))))</f>
        <v/>
      </c>
      <c r="N133" s="22"/>
      <c r="O133" s="16"/>
      <c r="P133" s="22"/>
      <c r="Q133" s="27"/>
      <c r="R133" s="22"/>
      <c r="S133" s="22"/>
      <c r="T133" s="16"/>
      <c r="U133" s="16"/>
      <c r="V133" s="16"/>
      <c r="W133" s="16"/>
      <c r="X133" s="16"/>
      <c r="Y133" s="16"/>
      <c r="Z133" s="16"/>
      <c r="AA133" s="16"/>
      <c r="AB133" s="22"/>
    </row>
    <row r="134" spans="1:28" x14ac:dyDescent="0.3">
      <c r="A134" s="22"/>
      <c r="B134" s="22"/>
      <c r="C134" s="22"/>
      <c r="D134" s="22"/>
      <c r="E134" s="22"/>
      <c r="F134" s="22"/>
      <c r="G134" s="22"/>
      <c r="H134" s="22"/>
      <c r="I134" s="24" t="str">
        <f t="shared" si="2"/>
        <v/>
      </c>
      <c r="J134" s="25" t="str">
        <f t="shared" si="3"/>
        <v/>
      </c>
      <c r="K134" s="22"/>
      <c r="L134" s="22"/>
      <c r="M134" s="25" t="str">
        <f>IF(AND(L134&gt;=ref!$L$2,L134&lt;=ref!$M$2),ref!$K$2,IF(AND(L134&gt;=ref!$L$3,L134&lt;=ref!$M$3),ref!$K$3,IF(AND(L134&gt;=ref!$L$4,L134&lt;=ref!$M$4),ref!$K$4,IF(AND(L134&gt;=ref!$L$5,L134&lt;=ref!$M$5),ref!$K$5,IF(AND(L134&gt;=ref!$L$6,L134&lt;=ref!$M$6),ref!$K$6,IF(AND(L134&gt;=ref!$L$7,L134&lt;=ref!$M$7),ref!$K$7,IF(AND(L134&gt;=ref!$L$8,L134&lt;=ref!$M$8),ref!$K$8,IF(AND(L134&gt;=ref!$L$9,L134&lt;=ref!$M$9),ref!$K$9,IF(AND(L134&gt;=ref!$L$11,L134&lt;=ref!$M$11),ref!$K$11,IF(AND(L134&gt;=ref!$L$12,L134&lt;=ref!$M$12),ref!$K$12,""))))))))))</f>
        <v/>
      </c>
      <c r="N134" s="22"/>
      <c r="O134" s="16"/>
      <c r="P134" s="22"/>
      <c r="Q134" s="27"/>
      <c r="R134" s="22"/>
      <c r="S134" s="22"/>
      <c r="T134" s="16"/>
      <c r="U134" s="16"/>
      <c r="V134" s="16"/>
      <c r="W134" s="16"/>
      <c r="X134" s="16"/>
      <c r="Y134" s="16"/>
      <c r="Z134" s="16"/>
      <c r="AA134" s="16"/>
      <c r="AB134" s="22"/>
    </row>
    <row r="135" spans="1:28" x14ac:dyDescent="0.3">
      <c r="A135" s="22"/>
      <c r="B135" s="22"/>
      <c r="C135" s="22"/>
      <c r="D135" s="22"/>
      <c r="E135" s="22"/>
      <c r="F135" s="22"/>
      <c r="G135" s="22"/>
      <c r="H135" s="22"/>
      <c r="I135" s="24" t="str">
        <f t="shared" ref="I135:I198" si="4">IF(H135="","",IF(H135-D135&lt;=30,"Yes","No"))</f>
        <v/>
      </c>
      <c r="J135" s="25" t="str">
        <f t="shared" ref="J135:J198" si="5">IF(H135&lt;&gt;"",TEXT(H135,"ddd"),"")</f>
        <v/>
      </c>
      <c r="K135" s="22"/>
      <c r="L135" s="22"/>
      <c r="M135" s="25" t="str">
        <f>IF(AND(L135&gt;=ref!$L$2,L135&lt;=ref!$M$2),ref!$K$2,IF(AND(L135&gt;=ref!$L$3,L135&lt;=ref!$M$3),ref!$K$3,IF(AND(L135&gt;=ref!$L$4,L135&lt;=ref!$M$4),ref!$K$4,IF(AND(L135&gt;=ref!$L$5,L135&lt;=ref!$M$5),ref!$K$5,IF(AND(L135&gt;=ref!$L$6,L135&lt;=ref!$M$6),ref!$K$6,IF(AND(L135&gt;=ref!$L$7,L135&lt;=ref!$M$7),ref!$K$7,IF(AND(L135&gt;=ref!$L$8,L135&lt;=ref!$M$8),ref!$K$8,IF(AND(L135&gt;=ref!$L$9,L135&lt;=ref!$M$9),ref!$K$9,IF(AND(L135&gt;=ref!$L$11,L135&lt;=ref!$M$11),ref!$K$11,IF(AND(L135&gt;=ref!$L$12,L135&lt;=ref!$M$12),ref!$K$12,""))))))))))</f>
        <v/>
      </c>
      <c r="N135" s="22"/>
      <c r="O135" s="16"/>
      <c r="P135" s="22"/>
      <c r="Q135" s="27"/>
      <c r="R135" s="22"/>
      <c r="S135" s="22"/>
      <c r="T135" s="16"/>
      <c r="U135" s="16"/>
      <c r="V135" s="16"/>
      <c r="W135" s="16"/>
      <c r="X135" s="16"/>
      <c r="Y135" s="16"/>
      <c r="Z135" s="16"/>
      <c r="AA135" s="16"/>
      <c r="AB135" s="22"/>
    </row>
    <row r="136" spans="1:28" x14ac:dyDescent="0.3">
      <c r="A136" s="22"/>
      <c r="B136" s="22"/>
      <c r="C136" s="22"/>
      <c r="D136" s="22"/>
      <c r="E136" s="22"/>
      <c r="F136" s="22"/>
      <c r="G136" s="22"/>
      <c r="H136" s="22"/>
      <c r="I136" s="24" t="str">
        <f t="shared" si="4"/>
        <v/>
      </c>
      <c r="J136" s="25" t="str">
        <f t="shared" si="5"/>
        <v/>
      </c>
      <c r="K136" s="22"/>
      <c r="L136" s="22"/>
      <c r="M136" s="25" t="str">
        <f>IF(AND(L136&gt;=ref!$L$2,L136&lt;=ref!$M$2),ref!$K$2,IF(AND(L136&gt;=ref!$L$3,L136&lt;=ref!$M$3),ref!$K$3,IF(AND(L136&gt;=ref!$L$4,L136&lt;=ref!$M$4),ref!$K$4,IF(AND(L136&gt;=ref!$L$5,L136&lt;=ref!$M$5),ref!$K$5,IF(AND(L136&gt;=ref!$L$6,L136&lt;=ref!$M$6),ref!$K$6,IF(AND(L136&gt;=ref!$L$7,L136&lt;=ref!$M$7),ref!$K$7,IF(AND(L136&gt;=ref!$L$8,L136&lt;=ref!$M$8),ref!$K$8,IF(AND(L136&gt;=ref!$L$9,L136&lt;=ref!$M$9),ref!$K$9,IF(AND(L136&gt;=ref!$L$11,L136&lt;=ref!$M$11),ref!$K$11,IF(AND(L136&gt;=ref!$L$12,L136&lt;=ref!$M$12),ref!$K$12,""))))))))))</f>
        <v/>
      </c>
      <c r="N136" s="22"/>
      <c r="O136" s="16"/>
      <c r="P136" s="22"/>
      <c r="Q136" s="27"/>
      <c r="R136" s="22"/>
      <c r="S136" s="22"/>
      <c r="T136" s="16"/>
      <c r="U136" s="16"/>
      <c r="V136" s="16"/>
      <c r="W136" s="16"/>
      <c r="X136" s="16"/>
      <c r="Y136" s="16"/>
      <c r="Z136" s="16"/>
      <c r="AA136" s="16"/>
      <c r="AB136" s="22"/>
    </row>
    <row r="137" spans="1:28" x14ac:dyDescent="0.3">
      <c r="A137" s="22"/>
      <c r="B137" s="22"/>
      <c r="C137" s="22"/>
      <c r="D137" s="22"/>
      <c r="E137" s="22"/>
      <c r="F137" s="22"/>
      <c r="G137" s="22"/>
      <c r="H137" s="22"/>
      <c r="I137" s="24" t="str">
        <f t="shared" si="4"/>
        <v/>
      </c>
      <c r="J137" s="25" t="str">
        <f t="shared" si="5"/>
        <v/>
      </c>
      <c r="K137" s="22"/>
      <c r="L137" s="22"/>
      <c r="M137" s="25" t="str">
        <f>IF(AND(L137&gt;=ref!$L$2,L137&lt;=ref!$M$2),ref!$K$2,IF(AND(L137&gt;=ref!$L$3,L137&lt;=ref!$M$3),ref!$K$3,IF(AND(L137&gt;=ref!$L$4,L137&lt;=ref!$M$4),ref!$K$4,IF(AND(L137&gt;=ref!$L$5,L137&lt;=ref!$M$5),ref!$K$5,IF(AND(L137&gt;=ref!$L$6,L137&lt;=ref!$M$6),ref!$K$6,IF(AND(L137&gt;=ref!$L$7,L137&lt;=ref!$M$7),ref!$K$7,IF(AND(L137&gt;=ref!$L$8,L137&lt;=ref!$M$8),ref!$K$8,IF(AND(L137&gt;=ref!$L$9,L137&lt;=ref!$M$9),ref!$K$9,IF(AND(L137&gt;=ref!$L$11,L137&lt;=ref!$M$11),ref!$K$11,IF(AND(L137&gt;=ref!$L$12,L137&lt;=ref!$M$12),ref!$K$12,""))))))))))</f>
        <v/>
      </c>
      <c r="N137" s="22"/>
      <c r="O137" s="16"/>
      <c r="P137" s="22"/>
      <c r="Q137" s="27"/>
      <c r="R137" s="22"/>
      <c r="S137" s="22"/>
      <c r="T137" s="16"/>
      <c r="U137" s="16"/>
      <c r="V137" s="16"/>
      <c r="W137" s="16"/>
      <c r="X137" s="16"/>
      <c r="Y137" s="16"/>
      <c r="Z137" s="16"/>
      <c r="AA137" s="16"/>
      <c r="AB137" s="22"/>
    </row>
    <row r="138" spans="1:28" x14ac:dyDescent="0.3">
      <c r="A138" s="22"/>
      <c r="B138" s="22"/>
      <c r="C138" s="22"/>
      <c r="D138" s="22"/>
      <c r="E138" s="22"/>
      <c r="F138" s="22"/>
      <c r="G138" s="22"/>
      <c r="H138" s="22"/>
      <c r="I138" s="24" t="str">
        <f t="shared" si="4"/>
        <v/>
      </c>
      <c r="J138" s="25" t="str">
        <f t="shared" si="5"/>
        <v/>
      </c>
      <c r="K138" s="22"/>
      <c r="L138" s="22"/>
      <c r="M138" s="25" t="str">
        <f>IF(AND(L138&gt;=ref!$L$2,L138&lt;=ref!$M$2),ref!$K$2,IF(AND(L138&gt;=ref!$L$3,L138&lt;=ref!$M$3),ref!$K$3,IF(AND(L138&gt;=ref!$L$4,L138&lt;=ref!$M$4),ref!$K$4,IF(AND(L138&gt;=ref!$L$5,L138&lt;=ref!$M$5),ref!$K$5,IF(AND(L138&gt;=ref!$L$6,L138&lt;=ref!$M$6),ref!$K$6,IF(AND(L138&gt;=ref!$L$7,L138&lt;=ref!$M$7),ref!$K$7,IF(AND(L138&gt;=ref!$L$8,L138&lt;=ref!$M$8),ref!$K$8,IF(AND(L138&gt;=ref!$L$9,L138&lt;=ref!$M$9),ref!$K$9,IF(AND(L138&gt;=ref!$L$11,L138&lt;=ref!$M$11),ref!$K$11,IF(AND(L138&gt;=ref!$L$12,L138&lt;=ref!$M$12),ref!$K$12,""))))))))))</f>
        <v/>
      </c>
      <c r="N138" s="22"/>
      <c r="O138" s="16"/>
      <c r="P138" s="22"/>
      <c r="Q138" s="27"/>
      <c r="R138" s="22"/>
      <c r="S138" s="22"/>
      <c r="T138" s="16"/>
      <c r="U138" s="16"/>
      <c r="V138" s="16"/>
      <c r="W138" s="16"/>
      <c r="X138" s="16"/>
      <c r="Y138" s="16"/>
      <c r="Z138" s="16"/>
      <c r="AA138" s="16"/>
      <c r="AB138" s="22"/>
    </row>
    <row r="139" spans="1:28" x14ac:dyDescent="0.3">
      <c r="A139" s="22"/>
      <c r="B139" s="22"/>
      <c r="C139" s="22"/>
      <c r="D139" s="22"/>
      <c r="E139" s="22"/>
      <c r="F139" s="22"/>
      <c r="G139" s="22"/>
      <c r="H139" s="22"/>
      <c r="I139" s="24" t="str">
        <f t="shared" si="4"/>
        <v/>
      </c>
      <c r="J139" s="25" t="str">
        <f t="shared" si="5"/>
        <v/>
      </c>
      <c r="K139" s="22"/>
      <c r="L139" s="22"/>
      <c r="M139" s="25" t="str">
        <f>IF(AND(L139&gt;=ref!$L$2,L139&lt;=ref!$M$2),ref!$K$2,IF(AND(L139&gt;=ref!$L$3,L139&lt;=ref!$M$3),ref!$K$3,IF(AND(L139&gt;=ref!$L$4,L139&lt;=ref!$M$4),ref!$K$4,IF(AND(L139&gt;=ref!$L$5,L139&lt;=ref!$M$5),ref!$K$5,IF(AND(L139&gt;=ref!$L$6,L139&lt;=ref!$M$6),ref!$K$6,IF(AND(L139&gt;=ref!$L$7,L139&lt;=ref!$M$7),ref!$K$7,IF(AND(L139&gt;=ref!$L$8,L139&lt;=ref!$M$8),ref!$K$8,IF(AND(L139&gt;=ref!$L$9,L139&lt;=ref!$M$9),ref!$K$9,IF(AND(L139&gt;=ref!$L$11,L139&lt;=ref!$M$11),ref!$K$11,IF(AND(L139&gt;=ref!$L$12,L139&lt;=ref!$M$12),ref!$K$12,""))))))))))</f>
        <v/>
      </c>
      <c r="N139" s="22"/>
      <c r="O139" s="16"/>
      <c r="P139" s="22"/>
      <c r="Q139" s="27"/>
      <c r="R139" s="22"/>
      <c r="S139" s="22"/>
      <c r="T139" s="16"/>
      <c r="U139" s="16"/>
      <c r="V139" s="16"/>
      <c r="W139" s="16"/>
      <c r="X139" s="16"/>
      <c r="Y139" s="16"/>
      <c r="Z139" s="16"/>
      <c r="AA139" s="16"/>
      <c r="AB139" s="22"/>
    </row>
    <row r="140" spans="1:28" x14ac:dyDescent="0.3">
      <c r="A140" s="22"/>
      <c r="B140" s="22"/>
      <c r="C140" s="22"/>
      <c r="D140" s="22"/>
      <c r="E140" s="22"/>
      <c r="F140" s="22"/>
      <c r="G140" s="22"/>
      <c r="H140" s="22"/>
      <c r="I140" s="24" t="str">
        <f t="shared" si="4"/>
        <v/>
      </c>
      <c r="J140" s="25" t="str">
        <f t="shared" si="5"/>
        <v/>
      </c>
      <c r="K140" s="22"/>
      <c r="L140" s="22"/>
      <c r="M140" s="25" t="str">
        <f>IF(AND(L140&gt;=ref!$L$2,L140&lt;=ref!$M$2),ref!$K$2,IF(AND(L140&gt;=ref!$L$3,L140&lt;=ref!$M$3),ref!$K$3,IF(AND(L140&gt;=ref!$L$4,L140&lt;=ref!$M$4),ref!$K$4,IF(AND(L140&gt;=ref!$L$5,L140&lt;=ref!$M$5),ref!$K$5,IF(AND(L140&gt;=ref!$L$6,L140&lt;=ref!$M$6),ref!$K$6,IF(AND(L140&gt;=ref!$L$7,L140&lt;=ref!$M$7),ref!$K$7,IF(AND(L140&gt;=ref!$L$8,L140&lt;=ref!$M$8),ref!$K$8,IF(AND(L140&gt;=ref!$L$9,L140&lt;=ref!$M$9),ref!$K$9,IF(AND(L140&gt;=ref!$L$11,L140&lt;=ref!$M$11),ref!$K$11,IF(AND(L140&gt;=ref!$L$12,L140&lt;=ref!$M$12),ref!$K$12,""))))))))))</f>
        <v/>
      </c>
      <c r="N140" s="22"/>
      <c r="O140" s="16"/>
      <c r="P140" s="22"/>
      <c r="Q140" s="27"/>
      <c r="R140" s="22"/>
      <c r="S140" s="22"/>
      <c r="T140" s="16"/>
      <c r="U140" s="16"/>
      <c r="V140" s="16"/>
      <c r="W140" s="16"/>
      <c r="X140" s="16"/>
      <c r="Y140" s="16"/>
      <c r="Z140" s="16"/>
      <c r="AA140" s="16"/>
      <c r="AB140" s="22"/>
    </row>
    <row r="141" spans="1:28" x14ac:dyDescent="0.3">
      <c r="A141" s="22"/>
      <c r="B141" s="22"/>
      <c r="C141" s="22"/>
      <c r="D141" s="22"/>
      <c r="E141" s="22"/>
      <c r="F141" s="22"/>
      <c r="G141" s="22"/>
      <c r="H141" s="22"/>
      <c r="I141" s="24" t="str">
        <f t="shared" si="4"/>
        <v/>
      </c>
      <c r="J141" s="25" t="str">
        <f t="shared" si="5"/>
        <v/>
      </c>
      <c r="K141" s="22"/>
      <c r="L141" s="22"/>
      <c r="M141" s="25" t="str">
        <f>IF(AND(L141&gt;=ref!$L$2,L141&lt;=ref!$M$2),ref!$K$2,IF(AND(L141&gt;=ref!$L$3,L141&lt;=ref!$M$3),ref!$K$3,IF(AND(L141&gt;=ref!$L$4,L141&lt;=ref!$M$4),ref!$K$4,IF(AND(L141&gt;=ref!$L$5,L141&lt;=ref!$M$5),ref!$K$5,IF(AND(L141&gt;=ref!$L$6,L141&lt;=ref!$M$6),ref!$K$6,IF(AND(L141&gt;=ref!$L$7,L141&lt;=ref!$M$7),ref!$K$7,IF(AND(L141&gt;=ref!$L$8,L141&lt;=ref!$M$8),ref!$K$8,IF(AND(L141&gt;=ref!$L$9,L141&lt;=ref!$M$9),ref!$K$9,IF(AND(L141&gt;=ref!$L$11,L141&lt;=ref!$M$11),ref!$K$11,IF(AND(L141&gt;=ref!$L$12,L141&lt;=ref!$M$12),ref!$K$12,""))))))))))</f>
        <v/>
      </c>
      <c r="N141" s="22"/>
      <c r="O141" s="16"/>
      <c r="P141" s="22"/>
      <c r="Q141" s="27"/>
      <c r="R141" s="22"/>
      <c r="S141" s="22"/>
      <c r="T141" s="16"/>
      <c r="U141" s="16"/>
      <c r="V141" s="16"/>
      <c r="W141" s="16"/>
      <c r="X141" s="16"/>
      <c r="Y141" s="16"/>
      <c r="Z141" s="16"/>
      <c r="AA141" s="16"/>
      <c r="AB141" s="22"/>
    </row>
    <row r="142" spans="1:28" x14ac:dyDescent="0.3">
      <c r="A142" s="22"/>
      <c r="B142" s="22"/>
      <c r="C142" s="22"/>
      <c r="D142" s="22"/>
      <c r="E142" s="22"/>
      <c r="F142" s="22"/>
      <c r="G142" s="22"/>
      <c r="H142" s="22"/>
      <c r="I142" s="24" t="str">
        <f t="shared" si="4"/>
        <v/>
      </c>
      <c r="J142" s="25" t="str">
        <f t="shared" si="5"/>
        <v/>
      </c>
      <c r="K142" s="22"/>
      <c r="L142" s="22"/>
      <c r="M142" s="25" t="str">
        <f>IF(AND(L142&gt;=ref!$L$2,L142&lt;=ref!$M$2),ref!$K$2,IF(AND(L142&gt;=ref!$L$3,L142&lt;=ref!$M$3),ref!$K$3,IF(AND(L142&gt;=ref!$L$4,L142&lt;=ref!$M$4),ref!$K$4,IF(AND(L142&gt;=ref!$L$5,L142&lt;=ref!$M$5),ref!$K$5,IF(AND(L142&gt;=ref!$L$6,L142&lt;=ref!$M$6),ref!$K$6,IF(AND(L142&gt;=ref!$L$7,L142&lt;=ref!$M$7),ref!$K$7,IF(AND(L142&gt;=ref!$L$8,L142&lt;=ref!$M$8),ref!$K$8,IF(AND(L142&gt;=ref!$L$9,L142&lt;=ref!$M$9),ref!$K$9,IF(AND(L142&gt;=ref!$L$11,L142&lt;=ref!$M$11),ref!$K$11,IF(AND(L142&gt;=ref!$L$12,L142&lt;=ref!$M$12),ref!$K$12,""))))))))))</f>
        <v/>
      </c>
      <c r="N142" s="22"/>
      <c r="O142" s="16"/>
      <c r="P142" s="22"/>
      <c r="Q142" s="27"/>
      <c r="R142" s="22"/>
      <c r="S142" s="22"/>
      <c r="T142" s="16"/>
      <c r="U142" s="16"/>
      <c r="V142" s="16"/>
      <c r="W142" s="16"/>
      <c r="X142" s="16"/>
      <c r="Y142" s="16"/>
      <c r="Z142" s="16"/>
      <c r="AA142" s="16"/>
      <c r="AB142" s="22"/>
    </row>
    <row r="143" spans="1:28" x14ac:dyDescent="0.3">
      <c r="A143" s="22"/>
      <c r="B143" s="22"/>
      <c r="C143" s="22"/>
      <c r="D143" s="22"/>
      <c r="E143" s="22"/>
      <c r="F143" s="22"/>
      <c r="G143" s="22"/>
      <c r="H143" s="22"/>
      <c r="I143" s="24" t="str">
        <f t="shared" si="4"/>
        <v/>
      </c>
      <c r="J143" s="25" t="str">
        <f t="shared" si="5"/>
        <v/>
      </c>
      <c r="K143" s="22"/>
      <c r="L143" s="22"/>
      <c r="M143" s="25" t="str">
        <f>IF(AND(L143&gt;=ref!$L$2,L143&lt;=ref!$M$2),ref!$K$2,IF(AND(L143&gt;=ref!$L$3,L143&lt;=ref!$M$3),ref!$K$3,IF(AND(L143&gt;=ref!$L$4,L143&lt;=ref!$M$4),ref!$K$4,IF(AND(L143&gt;=ref!$L$5,L143&lt;=ref!$M$5),ref!$K$5,IF(AND(L143&gt;=ref!$L$6,L143&lt;=ref!$M$6),ref!$K$6,IF(AND(L143&gt;=ref!$L$7,L143&lt;=ref!$M$7),ref!$K$7,IF(AND(L143&gt;=ref!$L$8,L143&lt;=ref!$M$8),ref!$K$8,IF(AND(L143&gt;=ref!$L$9,L143&lt;=ref!$M$9),ref!$K$9,IF(AND(L143&gt;=ref!$L$11,L143&lt;=ref!$M$11),ref!$K$11,IF(AND(L143&gt;=ref!$L$12,L143&lt;=ref!$M$12),ref!$K$12,""))))))))))</f>
        <v/>
      </c>
      <c r="N143" s="22"/>
      <c r="O143" s="16"/>
      <c r="P143" s="22"/>
      <c r="Q143" s="27"/>
      <c r="R143" s="22"/>
      <c r="S143" s="22"/>
      <c r="T143" s="16"/>
      <c r="U143" s="16"/>
      <c r="V143" s="16"/>
      <c r="W143" s="16"/>
      <c r="X143" s="16"/>
      <c r="Y143" s="16"/>
      <c r="Z143" s="16"/>
      <c r="AA143" s="16"/>
      <c r="AB143" s="22"/>
    </row>
    <row r="144" spans="1:28" x14ac:dyDescent="0.3">
      <c r="A144" s="22"/>
      <c r="B144" s="22"/>
      <c r="C144" s="22"/>
      <c r="D144" s="22"/>
      <c r="E144" s="22"/>
      <c r="F144" s="22"/>
      <c r="G144" s="22"/>
      <c r="H144" s="22"/>
      <c r="I144" s="24" t="str">
        <f t="shared" si="4"/>
        <v/>
      </c>
      <c r="J144" s="25" t="str">
        <f t="shared" si="5"/>
        <v/>
      </c>
      <c r="K144" s="22"/>
      <c r="L144" s="22"/>
      <c r="M144" s="25" t="str">
        <f>IF(AND(L144&gt;=ref!$L$2,L144&lt;=ref!$M$2),ref!$K$2,IF(AND(L144&gt;=ref!$L$3,L144&lt;=ref!$M$3),ref!$K$3,IF(AND(L144&gt;=ref!$L$4,L144&lt;=ref!$M$4),ref!$K$4,IF(AND(L144&gt;=ref!$L$5,L144&lt;=ref!$M$5),ref!$K$5,IF(AND(L144&gt;=ref!$L$6,L144&lt;=ref!$M$6),ref!$K$6,IF(AND(L144&gt;=ref!$L$7,L144&lt;=ref!$M$7),ref!$K$7,IF(AND(L144&gt;=ref!$L$8,L144&lt;=ref!$M$8),ref!$K$8,IF(AND(L144&gt;=ref!$L$9,L144&lt;=ref!$M$9),ref!$K$9,IF(AND(L144&gt;=ref!$L$11,L144&lt;=ref!$M$11),ref!$K$11,IF(AND(L144&gt;=ref!$L$12,L144&lt;=ref!$M$12),ref!$K$12,""))))))))))</f>
        <v/>
      </c>
      <c r="N144" s="22"/>
      <c r="O144" s="16"/>
      <c r="P144" s="22"/>
      <c r="Q144" s="27"/>
      <c r="R144" s="22"/>
      <c r="S144" s="22"/>
      <c r="T144" s="16"/>
      <c r="U144" s="16"/>
      <c r="V144" s="16"/>
      <c r="W144" s="16"/>
      <c r="X144" s="16"/>
      <c r="Y144" s="16"/>
      <c r="Z144" s="16"/>
      <c r="AA144" s="16"/>
      <c r="AB144" s="22"/>
    </row>
    <row r="145" spans="1:28" x14ac:dyDescent="0.3">
      <c r="A145" s="22"/>
      <c r="B145" s="22"/>
      <c r="C145" s="22"/>
      <c r="D145" s="22"/>
      <c r="E145" s="22"/>
      <c r="F145" s="22"/>
      <c r="G145" s="22"/>
      <c r="H145" s="22"/>
      <c r="I145" s="24" t="str">
        <f t="shared" si="4"/>
        <v/>
      </c>
      <c r="J145" s="25" t="str">
        <f t="shared" si="5"/>
        <v/>
      </c>
      <c r="K145" s="22"/>
      <c r="L145" s="22"/>
      <c r="M145" s="25" t="str">
        <f>IF(AND(L145&gt;=ref!$L$2,L145&lt;=ref!$M$2),ref!$K$2,IF(AND(L145&gt;=ref!$L$3,L145&lt;=ref!$M$3),ref!$K$3,IF(AND(L145&gt;=ref!$L$4,L145&lt;=ref!$M$4),ref!$K$4,IF(AND(L145&gt;=ref!$L$5,L145&lt;=ref!$M$5),ref!$K$5,IF(AND(L145&gt;=ref!$L$6,L145&lt;=ref!$M$6),ref!$K$6,IF(AND(L145&gt;=ref!$L$7,L145&lt;=ref!$M$7),ref!$K$7,IF(AND(L145&gt;=ref!$L$8,L145&lt;=ref!$M$8),ref!$K$8,IF(AND(L145&gt;=ref!$L$9,L145&lt;=ref!$M$9),ref!$K$9,IF(AND(L145&gt;=ref!$L$11,L145&lt;=ref!$M$11),ref!$K$11,IF(AND(L145&gt;=ref!$L$12,L145&lt;=ref!$M$12),ref!$K$12,""))))))))))</f>
        <v/>
      </c>
      <c r="N145" s="22"/>
      <c r="O145" s="16"/>
      <c r="P145" s="22"/>
      <c r="Q145" s="27"/>
      <c r="R145" s="22"/>
      <c r="S145" s="22"/>
      <c r="T145" s="16"/>
      <c r="U145" s="16"/>
      <c r="V145" s="16"/>
      <c r="W145" s="16"/>
      <c r="X145" s="16"/>
      <c r="Y145" s="16"/>
      <c r="Z145" s="16"/>
      <c r="AA145" s="16"/>
      <c r="AB145" s="22"/>
    </row>
    <row r="146" spans="1:28" x14ac:dyDescent="0.3">
      <c r="A146" s="22"/>
      <c r="B146" s="22"/>
      <c r="C146" s="22"/>
      <c r="D146" s="22"/>
      <c r="E146" s="22"/>
      <c r="F146" s="22"/>
      <c r="G146" s="22"/>
      <c r="H146" s="22"/>
      <c r="I146" s="24" t="str">
        <f t="shared" si="4"/>
        <v/>
      </c>
      <c r="J146" s="25" t="str">
        <f t="shared" si="5"/>
        <v/>
      </c>
      <c r="K146" s="22"/>
      <c r="L146" s="22"/>
      <c r="M146" s="25" t="str">
        <f>IF(AND(L146&gt;=ref!$L$2,L146&lt;=ref!$M$2),ref!$K$2,IF(AND(L146&gt;=ref!$L$3,L146&lt;=ref!$M$3),ref!$K$3,IF(AND(L146&gt;=ref!$L$4,L146&lt;=ref!$M$4),ref!$K$4,IF(AND(L146&gt;=ref!$L$5,L146&lt;=ref!$M$5),ref!$K$5,IF(AND(L146&gt;=ref!$L$6,L146&lt;=ref!$M$6),ref!$K$6,IF(AND(L146&gt;=ref!$L$7,L146&lt;=ref!$M$7),ref!$K$7,IF(AND(L146&gt;=ref!$L$8,L146&lt;=ref!$M$8),ref!$K$8,IF(AND(L146&gt;=ref!$L$9,L146&lt;=ref!$M$9),ref!$K$9,IF(AND(L146&gt;=ref!$L$11,L146&lt;=ref!$M$11),ref!$K$11,IF(AND(L146&gt;=ref!$L$12,L146&lt;=ref!$M$12),ref!$K$12,""))))))))))</f>
        <v/>
      </c>
      <c r="N146" s="22"/>
      <c r="O146" s="16"/>
      <c r="P146" s="22"/>
      <c r="Q146" s="27"/>
      <c r="R146" s="22"/>
      <c r="S146" s="22"/>
      <c r="T146" s="16"/>
      <c r="U146" s="16"/>
      <c r="V146" s="16"/>
      <c r="W146" s="16"/>
      <c r="X146" s="16"/>
      <c r="Y146" s="16"/>
      <c r="Z146" s="16"/>
      <c r="AA146" s="16"/>
      <c r="AB146" s="22"/>
    </row>
    <row r="147" spans="1:28" x14ac:dyDescent="0.3">
      <c r="A147" s="22"/>
      <c r="B147" s="22"/>
      <c r="C147" s="22"/>
      <c r="D147" s="22"/>
      <c r="E147" s="22"/>
      <c r="F147" s="22"/>
      <c r="G147" s="22"/>
      <c r="H147" s="22"/>
      <c r="I147" s="24" t="str">
        <f t="shared" si="4"/>
        <v/>
      </c>
      <c r="J147" s="25" t="str">
        <f t="shared" si="5"/>
        <v/>
      </c>
      <c r="K147" s="22"/>
      <c r="L147" s="22"/>
      <c r="M147" s="25" t="str">
        <f>IF(AND(L147&gt;=ref!$L$2,L147&lt;=ref!$M$2),ref!$K$2,IF(AND(L147&gt;=ref!$L$3,L147&lt;=ref!$M$3),ref!$K$3,IF(AND(L147&gt;=ref!$L$4,L147&lt;=ref!$M$4),ref!$K$4,IF(AND(L147&gt;=ref!$L$5,L147&lt;=ref!$M$5),ref!$K$5,IF(AND(L147&gt;=ref!$L$6,L147&lt;=ref!$M$6),ref!$K$6,IF(AND(L147&gt;=ref!$L$7,L147&lt;=ref!$M$7),ref!$K$7,IF(AND(L147&gt;=ref!$L$8,L147&lt;=ref!$M$8),ref!$K$8,IF(AND(L147&gt;=ref!$L$9,L147&lt;=ref!$M$9),ref!$K$9,IF(AND(L147&gt;=ref!$L$11,L147&lt;=ref!$M$11),ref!$K$11,IF(AND(L147&gt;=ref!$L$12,L147&lt;=ref!$M$12),ref!$K$12,""))))))))))</f>
        <v/>
      </c>
      <c r="N147" s="22"/>
      <c r="O147" s="16"/>
      <c r="P147" s="22"/>
      <c r="Q147" s="27"/>
      <c r="R147" s="22"/>
      <c r="S147" s="22"/>
      <c r="T147" s="16"/>
      <c r="U147" s="16"/>
      <c r="V147" s="16"/>
      <c r="W147" s="16"/>
      <c r="X147" s="16"/>
      <c r="Y147" s="16"/>
      <c r="Z147" s="16"/>
      <c r="AA147" s="16"/>
      <c r="AB147" s="22"/>
    </row>
    <row r="148" spans="1:28" x14ac:dyDescent="0.3">
      <c r="A148" s="22"/>
      <c r="B148" s="22"/>
      <c r="C148" s="22"/>
      <c r="D148" s="22"/>
      <c r="E148" s="22"/>
      <c r="F148" s="22"/>
      <c r="G148" s="22"/>
      <c r="H148" s="22"/>
      <c r="I148" s="24" t="str">
        <f t="shared" si="4"/>
        <v/>
      </c>
      <c r="J148" s="25" t="str">
        <f t="shared" si="5"/>
        <v/>
      </c>
      <c r="K148" s="22"/>
      <c r="L148" s="22"/>
      <c r="M148" s="25" t="str">
        <f>IF(AND(L148&gt;=ref!$L$2,L148&lt;=ref!$M$2),ref!$K$2,IF(AND(L148&gt;=ref!$L$3,L148&lt;=ref!$M$3),ref!$K$3,IF(AND(L148&gt;=ref!$L$4,L148&lt;=ref!$M$4),ref!$K$4,IF(AND(L148&gt;=ref!$L$5,L148&lt;=ref!$M$5),ref!$K$5,IF(AND(L148&gt;=ref!$L$6,L148&lt;=ref!$M$6),ref!$K$6,IF(AND(L148&gt;=ref!$L$7,L148&lt;=ref!$M$7),ref!$K$7,IF(AND(L148&gt;=ref!$L$8,L148&lt;=ref!$M$8),ref!$K$8,IF(AND(L148&gt;=ref!$L$9,L148&lt;=ref!$M$9),ref!$K$9,IF(AND(L148&gt;=ref!$L$11,L148&lt;=ref!$M$11),ref!$K$11,IF(AND(L148&gt;=ref!$L$12,L148&lt;=ref!$M$12),ref!$K$12,""))))))))))</f>
        <v/>
      </c>
      <c r="N148" s="22"/>
      <c r="O148" s="16"/>
      <c r="P148" s="22"/>
      <c r="Q148" s="27"/>
      <c r="R148" s="22"/>
      <c r="S148" s="22"/>
      <c r="T148" s="16"/>
      <c r="U148" s="16"/>
      <c r="V148" s="16"/>
      <c r="W148" s="16"/>
      <c r="X148" s="16"/>
      <c r="Y148" s="16"/>
      <c r="Z148" s="16"/>
      <c r="AA148" s="16"/>
      <c r="AB148" s="22"/>
    </row>
    <row r="149" spans="1:28" x14ac:dyDescent="0.3">
      <c r="A149" s="22"/>
      <c r="B149" s="22"/>
      <c r="C149" s="22"/>
      <c r="D149" s="22"/>
      <c r="E149" s="22"/>
      <c r="F149" s="22"/>
      <c r="G149" s="22"/>
      <c r="H149" s="22"/>
      <c r="I149" s="24" t="str">
        <f t="shared" si="4"/>
        <v/>
      </c>
      <c r="J149" s="25" t="str">
        <f t="shared" si="5"/>
        <v/>
      </c>
      <c r="K149" s="22"/>
      <c r="L149" s="22"/>
      <c r="M149" s="25" t="str">
        <f>IF(AND(L149&gt;=ref!$L$2,L149&lt;=ref!$M$2),ref!$K$2,IF(AND(L149&gt;=ref!$L$3,L149&lt;=ref!$M$3),ref!$K$3,IF(AND(L149&gt;=ref!$L$4,L149&lt;=ref!$M$4),ref!$K$4,IF(AND(L149&gt;=ref!$L$5,L149&lt;=ref!$M$5),ref!$K$5,IF(AND(L149&gt;=ref!$L$6,L149&lt;=ref!$M$6),ref!$K$6,IF(AND(L149&gt;=ref!$L$7,L149&lt;=ref!$M$7),ref!$K$7,IF(AND(L149&gt;=ref!$L$8,L149&lt;=ref!$M$8),ref!$K$8,IF(AND(L149&gt;=ref!$L$9,L149&lt;=ref!$M$9),ref!$K$9,IF(AND(L149&gt;=ref!$L$11,L149&lt;=ref!$M$11),ref!$K$11,IF(AND(L149&gt;=ref!$L$12,L149&lt;=ref!$M$12),ref!$K$12,""))))))))))</f>
        <v/>
      </c>
      <c r="N149" s="22"/>
      <c r="O149" s="16"/>
      <c r="P149" s="22"/>
      <c r="Q149" s="27"/>
      <c r="R149" s="22"/>
      <c r="S149" s="22"/>
      <c r="T149" s="16"/>
      <c r="U149" s="16"/>
      <c r="V149" s="16"/>
      <c r="W149" s="16"/>
      <c r="X149" s="16"/>
      <c r="Y149" s="16"/>
      <c r="Z149" s="16"/>
      <c r="AA149" s="16"/>
      <c r="AB149" s="22"/>
    </row>
    <row r="150" spans="1:28" x14ac:dyDescent="0.3">
      <c r="A150" s="22"/>
      <c r="B150" s="22"/>
      <c r="C150" s="22"/>
      <c r="D150" s="22"/>
      <c r="E150" s="22"/>
      <c r="F150" s="22"/>
      <c r="G150" s="22"/>
      <c r="H150" s="22"/>
      <c r="I150" s="24" t="str">
        <f t="shared" si="4"/>
        <v/>
      </c>
      <c r="J150" s="25" t="str">
        <f t="shared" si="5"/>
        <v/>
      </c>
      <c r="K150" s="22"/>
      <c r="L150" s="22"/>
      <c r="M150" s="25" t="str">
        <f>IF(AND(L150&gt;=ref!$L$2,L150&lt;=ref!$M$2),ref!$K$2,IF(AND(L150&gt;=ref!$L$3,L150&lt;=ref!$M$3),ref!$K$3,IF(AND(L150&gt;=ref!$L$4,L150&lt;=ref!$M$4),ref!$K$4,IF(AND(L150&gt;=ref!$L$5,L150&lt;=ref!$M$5),ref!$K$5,IF(AND(L150&gt;=ref!$L$6,L150&lt;=ref!$M$6),ref!$K$6,IF(AND(L150&gt;=ref!$L$7,L150&lt;=ref!$M$7),ref!$K$7,IF(AND(L150&gt;=ref!$L$8,L150&lt;=ref!$M$8),ref!$K$8,IF(AND(L150&gt;=ref!$L$9,L150&lt;=ref!$M$9),ref!$K$9,IF(AND(L150&gt;=ref!$L$11,L150&lt;=ref!$M$11),ref!$K$11,IF(AND(L150&gt;=ref!$L$12,L150&lt;=ref!$M$12),ref!$K$12,""))))))))))</f>
        <v/>
      </c>
      <c r="N150" s="22"/>
      <c r="O150" s="16"/>
      <c r="P150" s="22"/>
      <c r="Q150" s="27"/>
      <c r="R150" s="22"/>
      <c r="S150" s="22"/>
      <c r="T150" s="16"/>
      <c r="U150" s="16"/>
      <c r="V150" s="16"/>
      <c r="W150" s="16"/>
      <c r="X150" s="16"/>
      <c r="Y150" s="16"/>
      <c r="Z150" s="16"/>
      <c r="AA150" s="16"/>
      <c r="AB150" s="22"/>
    </row>
    <row r="151" spans="1:28" x14ac:dyDescent="0.3">
      <c r="A151" s="22"/>
      <c r="B151" s="22"/>
      <c r="C151" s="22"/>
      <c r="D151" s="22"/>
      <c r="E151" s="22"/>
      <c r="F151" s="22"/>
      <c r="G151" s="22"/>
      <c r="H151" s="22"/>
      <c r="I151" s="24" t="str">
        <f t="shared" si="4"/>
        <v/>
      </c>
      <c r="J151" s="25" t="str">
        <f t="shared" si="5"/>
        <v/>
      </c>
      <c r="K151" s="22"/>
      <c r="L151" s="22"/>
      <c r="M151" s="25" t="str">
        <f>IF(AND(L151&gt;=ref!$L$2,L151&lt;=ref!$M$2),ref!$K$2,IF(AND(L151&gt;=ref!$L$3,L151&lt;=ref!$M$3),ref!$K$3,IF(AND(L151&gt;=ref!$L$4,L151&lt;=ref!$M$4),ref!$K$4,IF(AND(L151&gt;=ref!$L$5,L151&lt;=ref!$M$5),ref!$K$5,IF(AND(L151&gt;=ref!$L$6,L151&lt;=ref!$M$6),ref!$K$6,IF(AND(L151&gt;=ref!$L$7,L151&lt;=ref!$M$7),ref!$K$7,IF(AND(L151&gt;=ref!$L$8,L151&lt;=ref!$M$8),ref!$K$8,IF(AND(L151&gt;=ref!$L$9,L151&lt;=ref!$M$9),ref!$K$9,IF(AND(L151&gt;=ref!$L$11,L151&lt;=ref!$M$11),ref!$K$11,IF(AND(L151&gt;=ref!$L$12,L151&lt;=ref!$M$12),ref!$K$12,""))))))))))</f>
        <v/>
      </c>
      <c r="N151" s="22"/>
      <c r="O151" s="16"/>
      <c r="P151" s="22"/>
      <c r="Q151" s="27"/>
      <c r="R151" s="22"/>
      <c r="S151" s="22"/>
      <c r="T151" s="16"/>
      <c r="U151" s="16"/>
      <c r="V151" s="16"/>
      <c r="W151" s="16"/>
      <c r="X151" s="16"/>
      <c r="Y151" s="16"/>
      <c r="Z151" s="16"/>
      <c r="AA151" s="16"/>
      <c r="AB151" s="22"/>
    </row>
    <row r="152" spans="1:28" x14ac:dyDescent="0.3">
      <c r="A152" s="22"/>
      <c r="B152" s="22"/>
      <c r="C152" s="22"/>
      <c r="D152" s="22"/>
      <c r="E152" s="22"/>
      <c r="F152" s="22"/>
      <c r="G152" s="22"/>
      <c r="H152" s="22"/>
      <c r="I152" s="24" t="str">
        <f t="shared" si="4"/>
        <v/>
      </c>
      <c r="J152" s="25" t="str">
        <f t="shared" si="5"/>
        <v/>
      </c>
      <c r="K152" s="22"/>
      <c r="L152" s="22"/>
      <c r="M152" s="25" t="str">
        <f>IF(AND(L152&gt;=ref!$L$2,L152&lt;=ref!$M$2),ref!$K$2,IF(AND(L152&gt;=ref!$L$3,L152&lt;=ref!$M$3),ref!$K$3,IF(AND(L152&gt;=ref!$L$4,L152&lt;=ref!$M$4),ref!$K$4,IF(AND(L152&gt;=ref!$L$5,L152&lt;=ref!$M$5),ref!$K$5,IF(AND(L152&gt;=ref!$L$6,L152&lt;=ref!$M$6),ref!$K$6,IF(AND(L152&gt;=ref!$L$7,L152&lt;=ref!$M$7),ref!$K$7,IF(AND(L152&gt;=ref!$L$8,L152&lt;=ref!$M$8),ref!$K$8,IF(AND(L152&gt;=ref!$L$9,L152&lt;=ref!$M$9),ref!$K$9,IF(AND(L152&gt;=ref!$L$11,L152&lt;=ref!$M$11),ref!$K$11,IF(AND(L152&gt;=ref!$L$12,L152&lt;=ref!$M$12),ref!$K$12,""))))))))))</f>
        <v/>
      </c>
      <c r="N152" s="22"/>
      <c r="O152" s="16"/>
      <c r="P152" s="22"/>
      <c r="Q152" s="27"/>
      <c r="R152" s="22"/>
      <c r="S152" s="22"/>
      <c r="T152" s="16"/>
      <c r="U152" s="16"/>
      <c r="V152" s="16"/>
      <c r="W152" s="16"/>
      <c r="X152" s="16"/>
      <c r="Y152" s="16"/>
      <c r="Z152" s="16"/>
      <c r="AA152" s="16"/>
      <c r="AB152" s="22"/>
    </row>
    <row r="153" spans="1:28" x14ac:dyDescent="0.3">
      <c r="A153" s="22"/>
      <c r="B153" s="22"/>
      <c r="C153" s="22"/>
      <c r="D153" s="22"/>
      <c r="E153" s="22"/>
      <c r="F153" s="22"/>
      <c r="G153" s="22"/>
      <c r="H153" s="22"/>
      <c r="I153" s="24" t="str">
        <f t="shared" si="4"/>
        <v/>
      </c>
      <c r="J153" s="25" t="str">
        <f t="shared" si="5"/>
        <v/>
      </c>
      <c r="K153" s="22"/>
      <c r="L153" s="22"/>
      <c r="M153" s="25" t="str">
        <f>IF(AND(L153&gt;=ref!$L$2,L153&lt;=ref!$M$2),ref!$K$2,IF(AND(L153&gt;=ref!$L$3,L153&lt;=ref!$M$3),ref!$K$3,IF(AND(L153&gt;=ref!$L$4,L153&lt;=ref!$M$4),ref!$K$4,IF(AND(L153&gt;=ref!$L$5,L153&lt;=ref!$M$5),ref!$K$5,IF(AND(L153&gt;=ref!$L$6,L153&lt;=ref!$M$6),ref!$K$6,IF(AND(L153&gt;=ref!$L$7,L153&lt;=ref!$M$7),ref!$K$7,IF(AND(L153&gt;=ref!$L$8,L153&lt;=ref!$M$8),ref!$K$8,IF(AND(L153&gt;=ref!$L$9,L153&lt;=ref!$M$9),ref!$K$9,IF(AND(L153&gt;=ref!$L$11,L153&lt;=ref!$M$11),ref!$K$11,IF(AND(L153&gt;=ref!$L$12,L153&lt;=ref!$M$12),ref!$K$12,""))))))))))</f>
        <v/>
      </c>
      <c r="N153" s="22"/>
      <c r="O153" s="16"/>
      <c r="P153" s="22"/>
      <c r="Q153" s="27"/>
      <c r="R153" s="22"/>
      <c r="S153" s="22"/>
      <c r="T153" s="16"/>
      <c r="U153" s="16"/>
      <c r="V153" s="16"/>
      <c r="W153" s="16"/>
      <c r="X153" s="16"/>
      <c r="Y153" s="16"/>
      <c r="Z153" s="16"/>
      <c r="AA153" s="16"/>
      <c r="AB153" s="22"/>
    </row>
    <row r="154" spans="1:28" x14ac:dyDescent="0.3">
      <c r="A154" s="22"/>
      <c r="B154" s="22"/>
      <c r="C154" s="22"/>
      <c r="D154" s="22"/>
      <c r="E154" s="22"/>
      <c r="F154" s="22"/>
      <c r="G154" s="22"/>
      <c r="H154" s="22"/>
      <c r="I154" s="24" t="str">
        <f t="shared" si="4"/>
        <v/>
      </c>
      <c r="J154" s="25" t="str">
        <f t="shared" si="5"/>
        <v/>
      </c>
      <c r="K154" s="22"/>
      <c r="L154" s="22"/>
      <c r="M154" s="25" t="str">
        <f>IF(AND(L154&gt;=ref!$L$2,L154&lt;=ref!$M$2),ref!$K$2,IF(AND(L154&gt;=ref!$L$3,L154&lt;=ref!$M$3),ref!$K$3,IF(AND(L154&gt;=ref!$L$4,L154&lt;=ref!$M$4),ref!$K$4,IF(AND(L154&gt;=ref!$L$5,L154&lt;=ref!$M$5),ref!$K$5,IF(AND(L154&gt;=ref!$L$6,L154&lt;=ref!$M$6),ref!$K$6,IF(AND(L154&gt;=ref!$L$7,L154&lt;=ref!$M$7),ref!$K$7,IF(AND(L154&gt;=ref!$L$8,L154&lt;=ref!$M$8),ref!$K$8,IF(AND(L154&gt;=ref!$L$9,L154&lt;=ref!$M$9),ref!$K$9,IF(AND(L154&gt;=ref!$L$11,L154&lt;=ref!$M$11),ref!$K$11,IF(AND(L154&gt;=ref!$L$12,L154&lt;=ref!$M$12),ref!$K$12,""))))))))))</f>
        <v/>
      </c>
      <c r="N154" s="22"/>
      <c r="O154" s="16"/>
      <c r="P154" s="22"/>
      <c r="Q154" s="27"/>
      <c r="R154" s="22"/>
      <c r="S154" s="22"/>
      <c r="T154" s="16"/>
      <c r="U154" s="16"/>
      <c r="V154" s="16"/>
      <c r="W154" s="16"/>
      <c r="X154" s="16"/>
      <c r="Y154" s="16"/>
      <c r="Z154" s="16"/>
      <c r="AA154" s="16"/>
      <c r="AB154" s="22"/>
    </row>
    <row r="155" spans="1:28" x14ac:dyDescent="0.3">
      <c r="A155" s="22"/>
      <c r="B155" s="22"/>
      <c r="C155" s="22"/>
      <c r="D155" s="22"/>
      <c r="E155" s="22"/>
      <c r="F155" s="22"/>
      <c r="G155" s="22"/>
      <c r="H155" s="22"/>
      <c r="I155" s="24" t="str">
        <f t="shared" si="4"/>
        <v/>
      </c>
      <c r="J155" s="25" t="str">
        <f t="shared" si="5"/>
        <v/>
      </c>
      <c r="K155" s="22"/>
      <c r="L155" s="22"/>
      <c r="M155" s="25" t="str">
        <f>IF(AND(L155&gt;=ref!$L$2,L155&lt;=ref!$M$2),ref!$K$2,IF(AND(L155&gt;=ref!$L$3,L155&lt;=ref!$M$3),ref!$K$3,IF(AND(L155&gt;=ref!$L$4,L155&lt;=ref!$M$4),ref!$K$4,IF(AND(L155&gt;=ref!$L$5,L155&lt;=ref!$M$5),ref!$K$5,IF(AND(L155&gt;=ref!$L$6,L155&lt;=ref!$M$6),ref!$K$6,IF(AND(L155&gt;=ref!$L$7,L155&lt;=ref!$M$7),ref!$K$7,IF(AND(L155&gt;=ref!$L$8,L155&lt;=ref!$M$8),ref!$K$8,IF(AND(L155&gt;=ref!$L$9,L155&lt;=ref!$M$9),ref!$K$9,IF(AND(L155&gt;=ref!$L$11,L155&lt;=ref!$M$11),ref!$K$11,IF(AND(L155&gt;=ref!$L$12,L155&lt;=ref!$M$12),ref!$K$12,""))))))))))</f>
        <v/>
      </c>
      <c r="N155" s="22"/>
      <c r="O155" s="16"/>
      <c r="P155" s="22"/>
      <c r="Q155" s="27"/>
      <c r="R155" s="22"/>
      <c r="S155" s="22"/>
      <c r="T155" s="16"/>
      <c r="U155" s="16"/>
      <c r="V155" s="16"/>
      <c r="W155" s="16"/>
      <c r="X155" s="16"/>
      <c r="Y155" s="16"/>
      <c r="Z155" s="16"/>
      <c r="AA155" s="16"/>
      <c r="AB155" s="22"/>
    </row>
    <row r="156" spans="1:28" x14ac:dyDescent="0.3">
      <c r="A156" s="22"/>
      <c r="B156" s="22"/>
      <c r="C156" s="22"/>
      <c r="D156" s="22"/>
      <c r="E156" s="22"/>
      <c r="F156" s="22"/>
      <c r="G156" s="22"/>
      <c r="H156" s="22"/>
      <c r="I156" s="24" t="str">
        <f t="shared" si="4"/>
        <v/>
      </c>
      <c r="J156" s="25" t="str">
        <f t="shared" si="5"/>
        <v/>
      </c>
      <c r="K156" s="22"/>
      <c r="L156" s="22"/>
      <c r="M156" s="25" t="str">
        <f>IF(AND(L156&gt;=ref!$L$2,L156&lt;=ref!$M$2),ref!$K$2,IF(AND(L156&gt;=ref!$L$3,L156&lt;=ref!$M$3),ref!$K$3,IF(AND(L156&gt;=ref!$L$4,L156&lt;=ref!$M$4),ref!$K$4,IF(AND(L156&gt;=ref!$L$5,L156&lt;=ref!$M$5),ref!$K$5,IF(AND(L156&gt;=ref!$L$6,L156&lt;=ref!$M$6),ref!$K$6,IF(AND(L156&gt;=ref!$L$7,L156&lt;=ref!$M$7),ref!$K$7,IF(AND(L156&gt;=ref!$L$8,L156&lt;=ref!$M$8),ref!$K$8,IF(AND(L156&gt;=ref!$L$9,L156&lt;=ref!$M$9),ref!$K$9,IF(AND(L156&gt;=ref!$L$11,L156&lt;=ref!$M$11),ref!$K$11,IF(AND(L156&gt;=ref!$L$12,L156&lt;=ref!$M$12),ref!$K$12,""))))))))))</f>
        <v/>
      </c>
      <c r="N156" s="22"/>
      <c r="O156" s="16"/>
      <c r="P156" s="22"/>
      <c r="Q156" s="27"/>
      <c r="R156" s="22"/>
      <c r="S156" s="22"/>
      <c r="T156" s="16"/>
      <c r="U156" s="16"/>
      <c r="V156" s="16"/>
      <c r="W156" s="16"/>
      <c r="X156" s="16"/>
      <c r="Y156" s="16"/>
      <c r="Z156" s="16"/>
      <c r="AA156" s="16"/>
      <c r="AB156" s="22"/>
    </row>
    <row r="157" spans="1:28" x14ac:dyDescent="0.3">
      <c r="A157" s="22"/>
      <c r="B157" s="22"/>
      <c r="C157" s="22"/>
      <c r="D157" s="22"/>
      <c r="E157" s="22"/>
      <c r="F157" s="22"/>
      <c r="G157" s="22"/>
      <c r="H157" s="22"/>
      <c r="I157" s="24" t="str">
        <f t="shared" si="4"/>
        <v/>
      </c>
      <c r="J157" s="25" t="str">
        <f t="shared" si="5"/>
        <v/>
      </c>
      <c r="K157" s="22"/>
      <c r="L157" s="22"/>
      <c r="M157" s="25" t="str">
        <f>IF(AND(L157&gt;=ref!$L$2,L157&lt;=ref!$M$2),ref!$K$2,IF(AND(L157&gt;=ref!$L$3,L157&lt;=ref!$M$3),ref!$K$3,IF(AND(L157&gt;=ref!$L$4,L157&lt;=ref!$M$4),ref!$K$4,IF(AND(L157&gt;=ref!$L$5,L157&lt;=ref!$M$5),ref!$K$5,IF(AND(L157&gt;=ref!$L$6,L157&lt;=ref!$M$6),ref!$K$6,IF(AND(L157&gt;=ref!$L$7,L157&lt;=ref!$M$7),ref!$K$7,IF(AND(L157&gt;=ref!$L$8,L157&lt;=ref!$M$8),ref!$K$8,IF(AND(L157&gt;=ref!$L$9,L157&lt;=ref!$M$9),ref!$K$9,IF(AND(L157&gt;=ref!$L$11,L157&lt;=ref!$M$11),ref!$K$11,IF(AND(L157&gt;=ref!$L$12,L157&lt;=ref!$M$12),ref!$K$12,""))))))))))</f>
        <v/>
      </c>
      <c r="N157" s="22"/>
      <c r="O157" s="16"/>
      <c r="P157" s="22"/>
      <c r="Q157" s="27"/>
      <c r="R157" s="22"/>
      <c r="S157" s="22"/>
      <c r="T157" s="16"/>
      <c r="U157" s="16"/>
      <c r="V157" s="16"/>
      <c r="W157" s="16"/>
      <c r="X157" s="16"/>
      <c r="Y157" s="16"/>
      <c r="Z157" s="16"/>
      <c r="AA157" s="16"/>
      <c r="AB157" s="22"/>
    </row>
    <row r="158" spans="1:28" x14ac:dyDescent="0.3">
      <c r="A158" s="22"/>
      <c r="B158" s="22"/>
      <c r="C158" s="22"/>
      <c r="D158" s="22"/>
      <c r="E158" s="22"/>
      <c r="F158" s="22"/>
      <c r="G158" s="22"/>
      <c r="H158" s="22"/>
      <c r="I158" s="24" t="str">
        <f t="shared" si="4"/>
        <v/>
      </c>
      <c r="J158" s="25" t="str">
        <f t="shared" si="5"/>
        <v/>
      </c>
      <c r="K158" s="22"/>
      <c r="L158" s="22"/>
      <c r="M158" s="25" t="str">
        <f>IF(AND(L158&gt;=ref!$L$2,L158&lt;=ref!$M$2),ref!$K$2,IF(AND(L158&gt;=ref!$L$3,L158&lt;=ref!$M$3),ref!$K$3,IF(AND(L158&gt;=ref!$L$4,L158&lt;=ref!$M$4),ref!$K$4,IF(AND(L158&gt;=ref!$L$5,L158&lt;=ref!$M$5),ref!$K$5,IF(AND(L158&gt;=ref!$L$6,L158&lt;=ref!$M$6),ref!$K$6,IF(AND(L158&gt;=ref!$L$7,L158&lt;=ref!$M$7),ref!$K$7,IF(AND(L158&gt;=ref!$L$8,L158&lt;=ref!$M$8),ref!$K$8,IF(AND(L158&gt;=ref!$L$9,L158&lt;=ref!$M$9),ref!$K$9,IF(AND(L158&gt;=ref!$L$11,L158&lt;=ref!$M$11),ref!$K$11,IF(AND(L158&gt;=ref!$L$12,L158&lt;=ref!$M$12),ref!$K$12,""))))))))))</f>
        <v/>
      </c>
      <c r="N158" s="22"/>
      <c r="O158" s="16"/>
      <c r="P158" s="22"/>
      <c r="Q158" s="27"/>
      <c r="R158" s="22"/>
      <c r="S158" s="22"/>
      <c r="T158" s="16"/>
      <c r="U158" s="16"/>
      <c r="V158" s="16"/>
      <c r="W158" s="16"/>
      <c r="X158" s="16"/>
      <c r="Y158" s="16"/>
      <c r="Z158" s="16"/>
      <c r="AA158" s="16"/>
      <c r="AB158" s="22"/>
    </row>
    <row r="159" spans="1:28" x14ac:dyDescent="0.3">
      <c r="A159" s="22"/>
      <c r="B159" s="22"/>
      <c r="C159" s="22"/>
      <c r="D159" s="22"/>
      <c r="E159" s="22"/>
      <c r="F159" s="22"/>
      <c r="G159" s="22"/>
      <c r="H159" s="22"/>
      <c r="I159" s="24" t="str">
        <f t="shared" si="4"/>
        <v/>
      </c>
      <c r="J159" s="25" t="str">
        <f t="shared" si="5"/>
        <v/>
      </c>
      <c r="K159" s="22"/>
      <c r="L159" s="22"/>
      <c r="M159" s="25" t="str">
        <f>IF(AND(L159&gt;=ref!$L$2,L159&lt;=ref!$M$2),ref!$K$2,IF(AND(L159&gt;=ref!$L$3,L159&lt;=ref!$M$3),ref!$K$3,IF(AND(L159&gt;=ref!$L$4,L159&lt;=ref!$M$4),ref!$K$4,IF(AND(L159&gt;=ref!$L$5,L159&lt;=ref!$M$5),ref!$K$5,IF(AND(L159&gt;=ref!$L$6,L159&lt;=ref!$M$6),ref!$K$6,IF(AND(L159&gt;=ref!$L$7,L159&lt;=ref!$M$7),ref!$K$7,IF(AND(L159&gt;=ref!$L$8,L159&lt;=ref!$M$8),ref!$K$8,IF(AND(L159&gt;=ref!$L$9,L159&lt;=ref!$M$9),ref!$K$9,IF(AND(L159&gt;=ref!$L$11,L159&lt;=ref!$M$11),ref!$K$11,IF(AND(L159&gt;=ref!$L$12,L159&lt;=ref!$M$12),ref!$K$12,""))))))))))</f>
        <v/>
      </c>
      <c r="N159" s="22"/>
      <c r="O159" s="16"/>
      <c r="P159" s="22"/>
      <c r="Q159" s="27"/>
      <c r="R159" s="22"/>
      <c r="S159" s="22"/>
      <c r="T159" s="16"/>
      <c r="U159" s="16"/>
      <c r="V159" s="16"/>
      <c r="W159" s="16"/>
      <c r="X159" s="16"/>
      <c r="Y159" s="16"/>
      <c r="Z159" s="16"/>
      <c r="AA159" s="16"/>
      <c r="AB159" s="22"/>
    </row>
    <row r="160" spans="1:28" x14ac:dyDescent="0.3">
      <c r="A160" s="22"/>
      <c r="B160" s="22"/>
      <c r="C160" s="22"/>
      <c r="D160" s="22"/>
      <c r="E160" s="22"/>
      <c r="F160" s="22"/>
      <c r="G160" s="22"/>
      <c r="H160" s="22"/>
      <c r="I160" s="24" t="str">
        <f t="shared" si="4"/>
        <v/>
      </c>
      <c r="J160" s="25" t="str">
        <f t="shared" si="5"/>
        <v/>
      </c>
      <c r="K160" s="22"/>
      <c r="L160" s="22"/>
      <c r="M160" s="25" t="str">
        <f>IF(AND(L160&gt;=ref!$L$2,L160&lt;=ref!$M$2),ref!$K$2,IF(AND(L160&gt;=ref!$L$3,L160&lt;=ref!$M$3),ref!$K$3,IF(AND(L160&gt;=ref!$L$4,L160&lt;=ref!$M$4),ref!$K$4,IF(AND(L160&gt;=ref!$L$5,L160&lt;=ref!$M$5),ref!$K$5,IF(AND(L160&gt;=ref!$L$6,L160&lt;=ref!$M$6),ref!$K$6,IF(AND(L160&gt;=ref!$L$7,L160&lt;=ref!$M$7),ref!$K$7,IF(AND(L160&gt;=ref!$L$8,L160&lt;=ref!$M$8),ref!$K$8,IF(AND(L160&gt;=ref!$L$9,L160&lt;=ref!$M$9),ref!$K$9,IF(AND(L160&gt;=ref!$L$11,L160&lt;=ref!$M$11),ref!$K$11,IF(AND(L160&gt;=ref!$L$12,L160&lt;=ref!$M$12),ref!$K$12,""))))))))))</f>
        <v/>
      </c>
      <c r="N160" s="22"/>
      <c r="O160" s="16"/>
      <c r="P160" s="22"/>
      <c r="Q160" s="27"/>
      <c r="R160" s="22"/>
      <c r="S160" s="22"/>
      <c r="T160" s="16"/>
      <c r="U160" s="16"/>
      <c r="V160" s="16"/>
      <c r="W160" s="16"/>
      <c r="X160" s="16"/>
      <c r="Y160" s="16"/>
      <c r="Z160" s="16"/>
      <c r="AA160" s="16"/>
      <c r="AB160" s="22"/>
    </row>
    <row r="161" spans="1:28" x14ac:dyDescent="0.3">
      <c r="A161" s="22"/>
      <c r="B161" s="22"/>
      <c r="C161" s="22"/>
      <c r="D161" s="22"/>
      <c r="E161" s="22"/>
      <c r="F161" s="22"/>
      <c r="G161" s="22"/>
      <c r="H161" s="22"/>
      <c r="I161" s="24" t="str">
        <f t="shared" si="4"/>
        <v/>
      </c>
      <c r="J161" s="25" t="str">
        <f t="shared" si="5"/>
        <v/>
      </c>
      <c r="K161" s="22"/>
      <c r="L161" s="22"/>
      <c r="M161" s="25" t="str">
        <f>IF(AND(L161&gt;=ref!$L$2,L161&lt;=ref!$M$2),ref!$K$2,IF(AND(L161&gt;=ref!$L$3,L161&lt;=ref!$M$3),ref!$K$3,IF(AND(L161&gt;=ref!$L$4,L161&lt;=ref!$M$4),ref!$K$4,IF(AND(L161&gt;=ref!$L$5,L161&lt;=ref!$M$5),ref!$K$5,IF(AND(L161&gt;=ref!$L$6,L161&lt;=ref!$M$6),ref!$K$6,IF(AND(L161&gt;=ref!$L$7,L161&lt;=ref!$M$7),ref!$K$7,IF(AND(L161&gt;=ref!$L$8,L161&lt;=ref!$M$8),ref!$K$8,IF(AND(L161&gt;=ref!$L$9,L161&lt;=ref!$M$9),ref!$K$9,IF(AND(L161&gt;=ref!$L$11,L161&lt;=ref!$M$11),ref!$K$11,IF(AND(L161&gt;=ref!$L$12,L161&lt;=ref!$M$12),ref!$K$12,""))))))))))</f>
        <v/>
      </c>
      <c r="N161" s="22"/>
      <c r="O161" s="16"/>
      <c r="P161" s="22"/>
      <c r="Q161" s="27"/>
      <c r="R161" s="22"/>
      <c r="S161" s="22"/>
      <c r="T161" s="16"/>
      <c r="U161" s="16"/>
      <c r="V161" s="16"/>
      <c r="W161" s="16"/>
      <c r="X161" s="16"/>
      <c r="Y161" s="16"/>
      <c r="Z161" s="16"/>
      <c r="AA161" s="16"/>
      <c r="AB161" s="22"/>
    </row>
    <row r="162" spans="1:28" x14ac:dyDescent="0.3">
      <c r="A162" s="22"/>
      <c r="B162" s="22"/>
      <c r="C162" s="22"/>
      <c r="D162" s="22"/>
      <c r="E162" s="22"/>
      <c r="F162" s="22"/>
      <c r="G162" s="22"/>
      <c r="H162" s="22"/>
      <c r="I162" s="24" t="str">
        <f t="shared" si="4"/>
        <v/>
      </c>
      <c r="J162" s="25" t="str">
        <f t="shared" si="5"/>
        <v/>
      </c>
      <c r="K162" s="22"/>
      <c r="L162" s="22"/>
      <c r="M162" s="25" t="str">
        <f>IF(AND(L162&gt;=ref!$L$2,L162&lt;=ref!$M$2),ref!$K$2,IF(AND(L162&gt;=ref!$L$3,L162&lt;=ref!$M$3),ref!$K$3,IF(AND(L162&gt;=ref!$L$4,L162&lt;=ref!$M$4),ref!$K$4,IF(AND(L162&gt;=ref!$L$5,L162&lt;=ref!$M$5),ref!$K$5,IF(AND(L162&gt;=ref!$L$6,L162&lt;=ref!$M$6),ref!$K$6,IF(AND(L162&gt;=ref!$L$7,L162&lt;=ref!$M$7),ref!$K$7,IF(AND(L162&gt;=ref!$L$8,L162&lt;=ref!$M$8),ref!$K$8,IF(AND(L162&gt;=ref!$L$9,L162&lt;=ref!$M$9),ref!$K$9,IF(AND(L162&gt;=ref!$L$11,L162&lt;=ref!$M$11),ref!$K$11,IF(AND(L162&gt;=ref!$L$12,L162&lt;=ref!$M$12),ref!$K$12,""))))))))))</f>
        <v/>
      </c>
      <c r="N162" s="22"/>
      <c r="O162" s="16"/>
      <c r="P162" s="22"/>
      <c r="Q162" s="27"/>
      <c r="R162" s="22"/>
      <c r="S162" s="22"/>
      <c r="T162" s="16"/>
      <c r="U162" s="16"/>
      <c r="V162" s="16"/>
      <c r="W162" s="16"/>
      <c r="X162" s="16"/>
      <c r="Y162" s="16"/>
      <c r="Z162" s="16"/>
      <c r="AA162" s="16"/>
      <c r="AB162" s="22"/>
    </row>
    <row r="163" spans="1:28" x14ac:dyDescent="0.3">
      <c r="A163" s="22"/>
      <c r="B163" s="22"/>
      <c r="C163" s="22"/>
      <c r="D163" s="22"/>
      <c r="E163" s="22"/>
      <c r="F163" s="22"/>
      <c r="G163" s="22"/>
      <c r="H163" s="22"/>
      <c r="I163" s="24" t="str">
        <f t="shared" si="4"/>
        <v/>
      </c>
      <c r="J163" s="25" t="str">
        <f t="shared" si="5"/>
        <v/>
      </c>
      <c r="K163" s="22"/>
      <c r="L163" s="22"/>
      <c r="M163" s="25" t="str">
        <f>IF(AND(L163&gt;=ref!$L$2,L163&lt;=ref!$M$2),ref!$K$2,IF(AND(L163&gt;=ref!$L$3,L163&lt;=ref!$M$3),ref!$K$3,IF(AND(L163&gt;=ref!$L$4,L163&lt;=ref!$M$4),ref!$K$4,IF(AND(L163&gt;=ref!$L$5,L163&lt;=ref!$M$5),ref!$K$5,IF(AND(L163&gt;=ref!$L$6,L163&lt;=ref!$M$6),ref!$K$6,IF(AND(L163&gt;=ref!$L$7,L163&lt;=ref!$M$7),ref!$K$7,IF(AND(L163&gt;=ref!$L$8,L163&lt;=ref!$M$8),ref!$K$8,IF(AND(L163&gt;=ref!$L$9,L163&lt;=ref!$M$9),ref!$K$9,IF(AND(L163&gt;=ref!$L$11,L163&lt;=ref!$M$11),ref!$K$11,IF(AND(L163&gt;=ref!$L$12,L163&lt;=ref!$M$12),ref!$K$12,""))))))))))</f>
        <v/>
      </c>
      <c r="N163" s="22"/>
      <c r="O163" s="16"/>
      <c r="P163" s="22"/>
      <c r="Q163" s="27"/>
      <c r="R163" s="22"/>
      <c r="S163" s="22"/>
      <c r="T163" s="16"/>
      <c r="U163" s="16"/>
      <c r="V163" s="16"/>
      <c r="W163" s="16"/>
      <c r="X163" s="16"/>
      <c r="Y163" s="16"/>
      <c r="Z163" s="16"/>
      <c r="AA163" s="16"/>
      <c r="AB163" s="22"/>
    </row>
    <row r="164" spans="1:28" x14ac:dyDescent="0.3">
      <c r="A164" s="22"/>
      <c r="B164" s="22"/>
      <c r="C164" s="22"/>
      <c r="D164" s="22"/>
      <c r="E164" s="22"/>
      <c r="F164" s="22"/>
      <c r="G164" s="22"/>
      <c r="H164" s="22"/>
      <c r="I164" s="24" t="str">
        <f t="shared" si="4"/>
        <v/>
      </c>
      <c r="J164" s="25" t="str">
        <f t="shared" si="5"/>
        <v/>
      </c>
      <c r="K164" s="22"/>
      <c r="L164" s="22"/>
      <c r="M164" s="25" t="str">
        <f>IF(AND(L164&gt;=ref!$L$2,L164&lt;=ref!$M$2),ref!$K$2,IF(AND(L164&gt;=ref!$L$3,L164&lt;=ref!$M$3),ref!$K$3,IF(AND(L164&gt;=ref!$L$4,L164&lt;=ref!$M$4),ref!$K$4,IF(AND(L164&gt;=ref!$L$5,L164&lt;=ref!$M$5),ref!$K$5,IF(AND(L164&gt;=ref!$L$6,L164&lt;=ref!$M$6),ref!$K$6,IF(AND(L164&gt;=ref!$L$7,L164&lt;=ref!$M$7),ref!$K$7,IF(AND(L164&gt;=ref!$L$8,L164&lt;=ref!$M$8),ref!$K$8,IF(AND(L164&gt;=ref!$L$9,L164&lt;=ref!$M$9),ref!$K$9,IF(AND(L164&gt;=ref!$L$11,L164&lt;=ref!$M$11),ref!$K$11,IF(AND(L164&gt;=ref!$L$12,L164&lt;=ref!$M$12),ref!$K$12,""))))))))))</f>
        <v/>
      </c>
      <c r="N164" s="22"/>
      <c r="O164" s="16"/>
      <c r="P164" s="22"/>
      <c r="Q164" s="27"/>
      <c r="R164" s="22"/>
      <c r="S164" s="22"/>
      <c r="T164" s="16"/>
      <c r="U164" s="16"/>
      <c r="V164" s="16"/>
      <c r="W164" s="16"/>
      <c r="X164" s="16"/>
      <c r="Y164" s="16"/>
      <c r="Z164" s="16"/>
      <c r="AA164" s="16"/>
      <c r="AB164" s="22"/>
    </row>
    <row r="165" spans="1:28" x14ac:dyDescent="0.3">
      <c r="A165" s="22"/>
      <c r="B165" s="22"/>
      <c r="C165" s="22"/>
      <c r="D165" s="22"/>
      <c r="E165" s="22"/>
      <c r="F165" s="22"/>
      <c r="G165" s="22"/>
      <c r="H165" s="22"/>
      <c r="I165" s="24" t="str">
        <f t="shared" si="4"/>
        <v/>
      </c>
      <c r="J165" s="25" t="str">
        <f t="shared" si="5"/>
        <v/>
      </c>
      <c r="K165" s="22"/>
      <c r="L165" s="22"/>
      <c r="M165" s="25" t="str">
        <f>IF(AND(L165&gt;=ref!$L$2,L165&lt;=ref!$M$2),ref!$K$2,IF(AND(L165&gt;=ref!$L$3,L165&lt;=ref!$M$3),ref!$K$3,IF(AND(L165&gt;=ref!$L$4,L165&lt;=ref!$M$4),ref!$K$4,IF(AND(L165&gt;=ref!$L$5,L165&lt;=ref!$M$5),ref!$K$5,IF(AND(L165&gt;=ref!$L$6,L165&lt;=ref!$M$6),ref!$K$6,IF(AND(L165&gt;=ref!$L$7,L165&lt;=ref!$M$7),ref!$K$7,IF(AND(L165&gt;=ref!$L$8,L165&lt;=ref!$M$8),ref!$K$8,IF(AND(L165&gt;=ref!$L$9,L165&lt;=ref!$M$9),ref!$K$9,IF(AND(L165&gt;=ref!$L$11,L165&lt;=ref!$M$11),ref!$K$11,IF(AND(L165&gt;=ref!$L$12,L165&lt;=ref!$M$12),ref!$K$12,""))))))))))</f>
        <v/>
      </c>
      <c r="N165" s="22"/>
      <c r="O165" s="16"/>
      <c r="P165" s="22"/>
      <c r="Q165" s="27"/>
      <c r="R165" s="22"/>
      <c r="S165" s="22"/>
      <c r="T165" s="16"/>
      <c r="U165" s="16"/>
      <c r="V165" s="16"/>
      <c r="W165" s="16"/>
      <c r="X165" s="16"/>
      <c r="Y165" s="16"/>
      <c r="Z165" s="16"/>
      <c r="AA165" s="16"/>
      <c r="AB165" s="22"/>
    </row>
    <row r="166" spans="1:28" x14ac:dyDescent="0.3">
      <c r="A166" s="22"/>
      <c r="B166" s="22"/>
      <c r="C166" s="22"/>
      <c r="D166" s="22"/>
      <c r="E166" s="22"/>
      <c r="F166" s="22"/>
      <c r="G166" s="22"/>
      <c r="H166" s="22"/>
      <c r="I166" s="24" t="str">
        <f t="shared" si="4"/>
        <v/>
      </c>
      <c r="J166" s="25" t="str">
        <f t="shared" si="5"/>
        <v/>
      </c>
      <c r="K166" s="22"/>
      <c r="L166" s="22"/>
      <c r="M166" s="25" t="str">
        <f>IF(AND(L166&gt;=ref!$L$2,L166&lt;=ref!$M$2),ref!$K$2,IF(AND(L166&gt;=ref!$L$3,L166&lt;=ref!$M$3),ref!$K$3,IF(AND(L166&gt;=ref!$L$4,L166&lt;=ref!$M$4),ref!$K$4,IF(AND(L166&gt;=ref!$L$5,L166&lt;=ref!$M$5),ref!$K$5,IF(AND(L166&gt;=ref!$L$6,L166&lt;=ref!$M$6),ref!$K$6,IF(AND(L166&gt;=ref!$L$7,L166&lt;=ref!$M$7),ref!$K$7,IF(AND(L166&gt;=ref!$L$8,L166&lt;=ref!$M$8),ref!$K$8,IF(AND(L166&gt;=ref!$L$9,L166&lt;=ref!$M$9),ref!$K$9,IF(AND(L166&gt;=ref!$L$11,L166&lt;=ref!$M$11),ref!$K$11,IF(AND(L166&gt;=ref!$L$12,L166&lt;=ref!$M$12),ref!$K$12,""))))))))))</f>
        <v/>
      </c>
      <c r="N166" s="22"/>
      <c r="O166" s="16"/>
      <c r="P166" s="22"/>
      <c r="Q166" s="27"/>
      <c r="R166" s="22"/>
      <c r="S166" s="22"/>
      <c r="T166" s="16"/>
      <c r="U166" s="16"/>
      <c r="V166" s="16"/>
      <c r="W166" s="16"/>
      <c r="X166" s="16"/>
      <c r="Y166" s="16"/>
      <c r="Z166" s="16"/>
      <c r="AA166" s="16"/>
      <c r="AB166" s="22"/>
    </row>
    <row r="167" spans="1:28" x14ac:dyDescent="0.3">
      <c r="A167" s="22"/>
      <c r="B167" s="22"/>
      <c r="C167" s="22"/>
      <c r="D167" s="22"/>
      <c r="E167" s="22"/>
      <c r="F167" s="22"/>
      <c r="G167" s="22"/>
      <c r="H167" s="22"/>
      <c r="I167" s="24" t="str">
        <f t="shared" si="4"/>
        <v/>
      </c>
      <c r="J167" s="25" t="str">
        <f t="shared" si="5"/>
        <v/>
      </c>
      <c r="K167" s="22"/>
      <c r="L167" s="22"/>
      <c r="M167" s="25" t="str">
        <f>IF(AND(L167&gt;=ref!$L$2,L167&lt;=ref!$M$2),ref!$K$2,IF(AND(L167&gt;=ref!$L$3,L167&lt;=ref!$M$3),ref!$K$3,IF(AND(L167&gt;=ref!$L$4,L167&lt;=ref!$M$4),ref!$K$4,IF(AND(L167&gt;=ref!$L$5,L167&lt;=ref!$M$5),ref!$K$5,IF(AND(L167&gt;=ref!$L$6,L167&lt;=ref!$M$6),ref!$K$6,IF(AND(L167&gt;=ref!$L$7,L167&lt;=ref!$M$7),ref!$K$7,IF(AND(L167&gt;=ref!$L$8,L167&lt;=ref!$M$8),ref!$K$8,IF(AND(L167&gt;=ref!$L$9,L167&lt;=ref!$M$9),ref!$K$9,IF(AND(L167&gt;=ref!$L$11,L167&lt;=ref!$M$11),ref!$K$11,IF(AND(L167&gt;=ref!$L$12,L167&lt;=ref!$M$12),ref!$K$12,""))))))))))</f>
        <v/>
      </c>
      <c r="N167" s="22"/>
      <c r="O167" s="16"/>
      <c r="P167" s="22"/>
      <c r="Q167" s="27"/>
      <c r="R167" s="22"/>
      <c r="S167" s="22"/>
      <c r="T167" s="16"/>
      <c r="U167" s="16"/>
      <c r="V167" s="16"/>
      <c r="W167" s="16"/>
      <c r="X167" s="16"/>
      <c r="Y167" s="16"/>
      <c r="Z167" s="16"/>
      <c r="AA167" s="16"/>
      <c r="AB167" s="22"/>
    </row>
    <row r="168" spans="1:28" x14ac:dyDescent="0.3">
      <c r="A168" s="22"/>
      <c r="B168" s="22"/>
      <c r="C168" s="22"/>
      <c r="D168" s="22"/>
      <c r="E168" s="22"/>
      <c r="F168" s="22"/>
      <c r="G168" s="22"/>
      <c r="H168" s="22"/>
      <c r="I168" s="24" t="str">
        <f t="shared" si="4"/>
        <v/>
      </c>
      <c r="J168" s="25" t="str">
        <f t="shared" si="5"/>
        <v/>
      </c>
      <c r="K168" s="22"/>
      <c r="L168" s="22"/>
      <c r="M168" s="25" t="str">
        <f>IF(AND(L168&gt;=ref!$L$2,L168&lt;=ref!$M$2),ref!$K$2,IF(AND(L168&gt;=ref!$L$3,L168&lt;=ref!$M$3),ref!$K$3,IF(AND(L168&gt;=ref!$L$4,L168&lt;=ref!$M$4),ref!$K$4,IF(AND(L168&gt;=ref!$L$5,L168&lt;=ref!$M$5),ref!$K$5,IF(AND(L168&gt;=ref!$L$6,L168&lt;=ref!$M$6),ref!$K$6,IF(AND(L168&gt;=ref!$L$7,L168&lt;=ref!$M$7),ref!$K$7,IF(AND(L168&gt;=ref!$L$8,L168&lt;=ref!$M$8),ref!$K$8,IF(AND(L168&gt;=ref!$L$9,L168&lt;=ref!$M$9),ref!$K$9,IF(AND(L168&gt;=ref!$L$11,L168&lt;=ref!$M$11),ref!$K$11,IF(AND(L168&gt;=ref!$L$12,L168&lt;=ref!$M$12),ref!$K$12,""))))))))))</f>
        <v/>
      </c>
      <c r="N168" s="22"/>
      <c r="O168" s="16"/>
      <c r="P168" s="22"/>
      <c r="Q168" s="27"/>
      <c r="R168" s="22"/>
      <c r="S168" s="22"/>
      <c r="T168" s="16"/>
      <c r="U168" s="16"/>
      <c r="V168" s="16"/>
      <c r="W168" s="16"/>
      <c r="X168" s="16"/>
      <c r="Y168" s="16"/>
      <c r="Z168" s="16"/>
      <c r="AA168" s="16"/>
      <c r="AB168" s="22"/>
    </row>
    <row r="169" spans="1:28" x14ac:dyDescent="0.3">
      <c r="A169" s="22"/>
      <c r="B169" s="22"/>
      <c r="C169" s="22"/>
      <c r="D169" s="22"/>
      <c r="E169" s="22"/>
      <c r="F169" s="22"/>
      <c r="G169" s="22"/>
      <c r="H169" s="22"/>
      <c r="I169" s="24" t="str">
        <f t="shared" si="4"/>
        <v/>
      </c>
      <c r="J169" s="25" t="str">
        <f t="shared" si="5"/>
        <v/>
      </c>
      <c r="K169" s="22"/>
      <c r="L169" s="22"/>
      <c r="M169" s="25" t="str">
        <f>IF(AND(L169&gt;=ref!$L$2,L169&lt;=ref!$M$2),ref!$K$2,IF(AND(L169&gt;=ref!$L$3,L169&lt;=ref!$M$3),ref!$K$3,IF(AND(L169&gt;=ref!$L$4,L169&lt;=ref!$M$4),ref!$K$4,IF(AND(L169&gt;=ref!$L$5,L169&lt;=ref!$M$5),ref!$K$5,IF(AND(L169&gt;=ref!$L$6,L169&lt;=ref!$M$6),ref!$K$6,IF(AND(L169&gt;=ref!$L$7,L169&lt;=ref!$M$7),ref!$K$7,IF(AND(L169&gt;=ref!$L$8,L169&lt;=ref!$M$8),ref!$K$8,IF(AND(L169&gt;=ref!$L$9,L169&lt;=ref!$M$9),ref!$K$9,IF(AND(L169&gt;=ref!$L$11,L169&lt;=ref!$M$11),ref!$K$11,IF(AND(L169&gt;=ref!$L$12,L169&lt;=ref!$M$12),ref!$K$12,""))))))))))</f>
        <v/>
      </c>
      <c r="N169" s="22"/>
      <c r="O169" s="16"/>
      <c r="P169" s="22"/>
      <c r="Q169" s="27"/>
      <c r="R169" s="22"/>
      <c r="S169" s="22"/>
      <c r="T169" s="16"/>
      <c r="U169" s="16"/>
      <c r="V169" s="16"/>
      <c r="W169" s="16"/>
      <c r="X169" s="16"/>
      <c r="Y169" s="16"/>
      <c r="Z169" s="16"/>
      <c r="AA169" s="16"/>
      <c r="AB169" s="22"/>
    </row>
    <row r="170" spans="1:28" x14ac:dyDescent="0.3">
      <c r="A170" s="22"/>
      <c r="B170" s="22"/>
      <c r="C170" s="22"/>
      <c r="D170" s="22"/>
      <c r="E170" s="22"/>
      <c r="F170" s="22"/>
      <c r="G170" s="22"/>
      <c r="H170" s="22"/>
      <c r="I170" s="24" t="str">
        <f t="shared" si="4"/>
        <v/>
      </c>
      <c r="J170" s="25" t="str">
        <f t="shared" si="5"/>
        <v/>
      </c>
      <c r="K170" s="22"/>
      <c r="L170" s="22"/>
      <c r="M170" s="25" t="str">
        <f>IF(AND(L170&gt;=ref!$L$2,L170&lt;=ref!$M$2),ref!$K$2,IF(AND(L170&gt;=ref!$L$3,L170&lt;=ref!$M$3),ref!$K$3,IF(AND(L170&gt;=ref!$L$4,L170&lt;=ref!$M$4),ref!$K$4,IF(AND(L170&gt;=ref!$L$5,L170&lt;=ref!$M$5),ref!$K$5,IF(AND(L170&gt;=ref!$L$6,L170&lt;=ref!$M$6),ref!$K$6,IF(AND(L170&gt;=ref!$L$7,L170&lt;=ref!$M$7),ref!$K$7,IF(AND(L170&gt;=ref!$L$8,L170&lt;=ref!$M$8),ref!$K$8,IF(AND(L170&gt;=ref!$L$9,L170&lt;=ref!$M$9),ref!$K$9,IF(AND(L170&gt;=ref!$L$11,L170&lt;=ref!$M$11),ref!$K$11,IF(AND(L170&gt;=ref!$L$12,L170&lt;=ref!$M$12),ref!$K$12,""))))))))))</f>
        <v/>
      </c>
      <c r="N170" s="22"/>
      <c r="O170" s="16"/>
      <c r="P170" s="22"/>
      <c r="Q170" s="27"/>
      <c r="R170" s="22"/>
      <c r="S170" s="22"/>
      <c r="T170" s="16"/>
      <c r="U170" s="16"/>
      <c r="V170" s="16"/>
      <c r="W170" s="16"/>
      <c r="X170" s="16"/>
      <c r="Y170" s="16"/>
      <c r="Z170" s="16"/>
      <c r="AA170" s="16"/>
      <c r="AB170" s="22"/>
    </row>
    <row r="171" spans="1:28" x14ac:dyDescent="0.3">
      <c r="A171" s="22"/>
      <c r="B171" s="22"/>
      <c r="C171" s="22"/>
      <c r="D171" s="22"/>
      <c r="E171" s="22"/>
      <c r="F171" s="22"/>
      <c r="G171" s="22"/>
      <c r="H171" s="22"/>
      <c r="I171" s="24" t="str">
        <f t="shared" si="4"/>
        <v/>
      </c>
      <c r="J171" s="25" t="str">
        <f t="shared" si="5"/>
        <v/>
      </c>
      <c r="K171" s="22"/>
      <c r="L171" s="22"/>
      <c r="M171" s="25" t="str">
        <f>IF(AND(L171&gt;=ref!$L$2,L171&lt;=ref!$M$2),ref!$K$2,IF(AND(L171&gt;=ref!$L$3,L171&lt;=ref!$M$3),ref!$K$3,IF(AND(L171&gt;=ref!$L$4,L171&lt;=ref!$M$4),ref!$K$4,IF(AND(L171&gt;=ref!$L$5,L171&lt;=ref!$M$5),ref!$K$5,IF(AND(L171&gt;=ref!$L$6,L171&lt;=ref!$M$6),ref!$K$6,IF(AND(L171&gt;=ref!$L$7,L171&lt;=ref!$M$7),ref!$K$7,IF(AND(L171&gt;=ref!$L$8,L171&lt;=ref!$M$8),ref!$K$8,IF(AND(L171&gt;=ref!$L$9,L171&lt;=ref!$M$9),ref!$K$9,IF(AND(L171&gt;=ref!$L$11,L171&lt;=ref!$M$11),ref!$K$11,IF(AND(L171&gt;=ref!$L$12,L171&lt;=ref!$M$12),ref!$K$12,""))))))))))</f>
        <v/>
      </c>
      <c r="N171" s="22"/>
      <c r="O171" s="16"/>
      <c r="P171" s="22"/>
      <c r="Q171" s="27"/>
      <c r="R171" s="22"/>
      <c r="S171" s="22"/>
      <c r="T171" s="16"/>
      <c r="U171" s="16"/>
      <c r="V171" s="16"/>
      <c r="W171" s="16"/>
      <c r="X171" s="16"/>
      <c r="Y171" s="16"/>
      <c r="Z171" s="16"/>
      <c r="AA171" s="16"/>
      <c r="AB171" s="22"/>
    </row>
    <row r="172" spans="1:28" x14ac:dyDescent="0.3">
      <c r="A172" s="22"/>
      <c r="B172" s="22"/>
      <c r="C172" s="22"/>
      <c r="D172" s="22"/>
      <c r="E172" s="22"/>
      <c r="F172" s="22"/>
      <c r="G172" s="22"/>
      <c r="H172" s="22"/>
      <c r="I172" s="24" t="str">
        <f t="shared" si="4"/>
        <v/>
      </c>
      <c r="J172" s="25" t="str">
        <f t="shared" si="5"/>
        <v/>
      </c>
      <c r="K172" s="22"/>
      <c r="L172" s="22"/>
      <c r="M172" s="25" t="str">
        <f>IF(AND(L172&gt;=ref!$L$2,L172&lt;=ref!$M$2),ref!$K$2,IF(AND(L172&gt;=ref!$L$3,L172&lt;=ref!$M$3),ref!$K$3,IF(AND(L172&gt;=ref!$L$4,L172&lt;=ref!$M$4),ref!$K$4,IF(AND(L172&gt;=ref!$L$5,L172&lt;=ref!$M$5),ref!$K$5,IF(AND(L172&gt;=ref!$L$6,L172&lt;=ref!$M$6),ref!$K$6,IF(AND(L172&gt;=ref!$L$7,L172&lt;=ref!$M$7),ref!$K$7,IF(AND(L172&gt;=ref!$L$8,L172&lt;=ref!$M$8),ref!$K$8,IF(AND(L172&gt;=ref!$L$9,L172&lt;=ref!$M$9),ref!$K$9,IF(AND(L172&gt;=ref!$L$11,L172&lt;=ref!$M$11),ref!$K$11,IF(AND(L172&gt;=ref!$L$12,L172&lt;=ref!$M$12),ref!$K$12,""))))))))))</f>
        <v/>
      </c>
      <c r="N172" s="22"/>
      <c r="O172" s="16"/>
      <c r="P172" s="22"/>
      <c r="Q172" s="27"/>
      <c r="R172" s="22"/>
      <c r="S172" s="22"/>
      <c r="T172" s="16"/>
      <c r="U172" s="16"/>
      <c r="V172" s="16"/>
      <c r="W172" s="16"/>
      <c r="X172" s="16"/>
      <c r="Y172" s="16"/>
      <c r="Z172" s="16"/>
      <c r="AA172" s="16"/>
      <c r="AB172" s="22"/>
    </row>
    <row r="173" spans="1:28" x14ac:dyDescent="0.3">
      <c r="A173" s="22"/>
      <c r="B173" s="22"/>
      <c r="C173" s="22"/>
      <c r="D173" s="22"/>
      <c r="E173" s="22"/>
      <c r="F173" s="22"/>
      <c r="G173" s="22"/>
      <c r="H173" s="22"/>
      <c r="I173" s="24" t="str">
        <f t="shared" si="4"/>
        <v/>
      </c>
      <c r="J173" s="25" t="str">
        <f t="shared" si="5"/>
        <v/>
      </c>
      <c r="K173" s="22"/>
      <c r="L173" s="22"/>
      <c r="M173" s="25" t="str">
        <f>IF(AND(L173&gt;=ref!$L$2,L173&lt;=ref!$M$2),ref!$K$2,IF(AND(L173&gt;=ref!$L$3,L173&lt;=ref!$M$3),ref!$K$3,IF(AND(L173&gt;=ref!$L$4,L173&lt;=ref!$M$4),ref!$K$4,IF(AND(L173&gt;=ref!$L$5,L173&lt;=ref!$M$5),ref!$K$5,IF(AND(L173&gt;=ref!$L$6,L173&lt;=ref!$M$6),ref!$K$6,IF(AND(L173&gt;=ref!$L$7,L173&lt;=ref!$M$7),ref!$K$7,IF(AND(L173&gt;=ref!$L$8,L173&lt;=ref!$M$8),ref!$K$8,IF(AND(L173&gt;=ref!$L$9,L173&lt;=ref!$M$9),ref!$K$9,IF(AND(L173&gt;=ref!$L$11,L173&lt;=ref!$M$11),ref!$K$11,IF(AND(L173&gt;=ref!$L$12,L173&lt;=ref!$M$12),ref!$K$12,""))))))))))</f>
        <v/>
      </c>
      <c r="N173" s="22"/>
      <c r="O173" s="16"/>
      <c r="P173" s="22"/>
      <c r="Q173" s="27"/>
      <c r="R173" s="22"/>
      <c r="S173" s="22"/>
      <c r="T173" s="16"/>
      <c r="U173" s="16"/>
      <c r="V173" s="16"/>
      <c r="W173" s="16"/>
      <c r="X173" s="16"/>
      <c r="Y173" s="16"/>
      <c r="Z173" s="16"/>
      <c r="AA173" s="16"/>
      <c r="AB173" s="22"/>
    </row>
    <row r="174" spans="1:28" x14ac:dyDescent="0.3">
      <c r="A174" s="22"/>
      <c r="B174" s="22"/>
      <c r="C174" s="22"/>
      <c r="D174" s="22"/>
      <c r="E174" s="22"/>
      <c r="F174" s="22"/>
      <c r="G174" s="22"/>
      <c r="H174" s="22"/>
      <c r="I174" s="24" t="str">
        <f t="shared" si="4"/>
        <v/>
      </c>
      <c r="J174" s="25" t="str">
        <f t="shared" si="5"/>
        <v/>
      </c>
      <c r="K174" s="22"/>
      <c r="L174" s="22"/>
      <c r="M174" s="25" t="str">
        <f>IF(AND(L174&gt;=ref!$L$2,L174&lt;=ref!$M$2),ref!$K$2,IF(AND(L174&gt;=ref!$L$3,L174&lt;=ref!$M$3),ref!$K$3,IF(AND(L174&gt;=ref!$L$4,L174&lt;=ref!$M$4),ref!$K$4,IF(AND(L174&gt;=ref!$L$5,L174&lt;=ref!$M$5),ref!$K$5,IF(AND(L174&gt;=ref!$L$6,L174&lt;=ref!$M$6),ref!$K$6,IF(AND(L174&gt;=ref!$L$7,L174&lt;=ref!$M$7),ref!$K$7,IF(AND(L174&gt;=ref!$L$8,L174&lt;=ref!$M$8),ref!$K$8,IF(AND(L174&gt;=ref!$L$9,L174&lt;=ref!$M$9),ref!$K$9,IF(AND(L174&gt;=ref!$L$11,L174&lt;=ref!$M$11),ref!$K$11,IF(AND(L174&gt;=ref!$L$12,L174&lt;=ref!$M$12),ref!$K$12,""))))))))))</f>
        <v/>
      </c>
      <c r="N174" s="22"/>
      <c r="O174" s="16"/>
      <c r="P174" s="22"/>
      <c r="Q174" s="27"/>
      <c r="R174" s="22"/>
      <c r="S174" s="22"/>
      <c r="T174" s="16"/>
      <c r="U174" s="16"/>
      <c r="V174" s="16"/>
      <c r="W174" s="16"/>
      <c r="X174" s="16"/>
      <c r="Y174" s="16"/>
      <c r="Z174" s="16"/>
      <c r="AA174" s="16"/>
      <c r="AB174" s="22"/>
    </row>
    <row r="175" spans="1:28" x14ac:dyDescent="0.3">
      <c r="A175" s="22"/>
      <c r="B175" s="22"/>
      <c r="C175" s="22"/>
      <c r="D175" s="22"/>
      <c r="E175" s="22"/>
      <c r="F175" s="22"/>
      <c r="G175" s="22"/>
      <c r="H175" s="22"/>
      <c r="I175" s="24" t="str">
        <f t="shared" si="4"/>
        <v/>
      </c>
      <c r="J175" s="25" t="str">
        <f t="shared" si="5"/>
        <v/>
      </c>
      <c r="K175" s="22"/>
      <c r="L175" s="22"/>
      <c r="M175" s="25" t="str">
        <f>IF(AND(L175&gt;=ref!$L$2,L175&lt;=ref!$M$2),ref!$K$2,IF(AND(L175&gt;=ref!$L$3,L175&lt;=ref!$M$3),ref!$K$3,IF(AND(L175&gt;=ref!$L$4,L175&lt;=ref!$M$4),ref!$K$4,IF(AND(L175&gt;=ref!$L$5,L175&lt;=ref!$M$5),ref!$K$5,IF(AND(L175&gt;=ref!$L$6,L175&lt;=ref!$M$6),ref!$K$6,IF(AND(L175&gt;=ref!$L$7,L175&lt;=ref!$M$7),ref!$K$7,IF(AND(L175&gt;=ref!$L$8,L175&lt;=ref!$M$8),ref!$K$8,IF(AND(L175&gt;=ref!$L$9,L175&lt;=ref!$M$9),ref!$K$9,IF(AND(L175&gt;=ref!$L$11,L175&lt;=ref!$M$11),ref!$K$11,IF(AND(L175&gt;=ref!$L$12,L175&lt;=ref!$M$12),ref!$K$12,""))))))))))</f>
        <v/>
      </c>
      <c r="N175" s="22"/>
      <c r="O175" s="16"/>
      <c r="P175" s="22"/>
      <c r="Q175" s="27"/>
      <c r="R175" s="22"/>
      <c r="S175" s="22"/>
      <c r="T175" s="16"/>
      <c r="U175" s="16"/>
      <c r="V175" s="16"/>
      <c r="W175" s="16"/>
      <c r="X175" s="16"/>
      <c r="Y175" s="16"/>
      <c r="Z175" s="16"/>
      <c r="AA175" s="16"/>
      <c r="AB175" s="22"/>
    </row>
    <row r="176" spans="1:28" x14ac:dyDescent="0.3">
      <c r="A176" s="22"/>
      <c r="B176" s="22"/>
      <c r="C176" s="22"/>
      <c r="D176" s="22"/>
      <c r="E176" s="22"/>
      <c r="F176" s="22"/>
      <c r="G176" s="22"/>
      <c r="H176" s="22"/>
      <c r="I176" s="24" t="str">
        <f t="shared" si="4"/>
        <v/>
      </c>
      <c r="J176" s="25" t="str">
        <f t="shared" si="5"/>
        <v/>
      </c>
      <c r="K176" s="22"/>
      <c r="L176" s="22"/>
      <c r="M176" s="25" t="str">
        <f>IF(AND(L176&gt;=ref!$L$2,L176&lt;=ref!$M$2),ref!$K$2,IF(AND(L176&gt;=ref!$L$3,L176&lt;=ref!$M$3),ref!$K$3,IF(AND(L176&gt;=ref!$L$4,L176&lt;=ref!$M$4),ref!$K$4,IF(AND(L176&gt;=ref!$L$5,L176&lt;=ref!$M$5),ref!$K$5,IF(AND(L176&gt;=ref!$L$6,L176&lt;=ref!$M$6),ref!$K$6,IF(AND(L176&gt;=ref!$L$7,L176&lt;=ref!$M$7),ref!$K$7,IF(AND(L176&gt;=ref!$L$8,L176&lt;=ref!$M$8),ref!$K$8,IF(AND(L176&gt;=ref!$L$9,L176&lt;=ref!$M$9),ref!$K$9,IF(AND(L176&gt;=ref!$L$11,L176&lt;=ref!$M$11),ref!$K$11,IF(AND(L176&gt;=ref!$L$12,L176&lt;=ref!$M$12),ref!$K$12,""))))))))))</f>
        <v/>
      </c>
      <c r="N176" s="22"/>
      <c r="O176" s="16"/>
      <c r="P176" s="22"/>
      <c r="Q176" s="27"/>
      <c r="R176" s="22"/>
      <c r="S176" s="22"/>
      <c r="T176" s="16"/>
      <c r="U176" s="16"/>
      <c r="V176" s="16"/>
      <c r="W176" s="16"/>
      <c r="X176" s="16"/>
      <c r="Y176" s="16"/>
      <c r="Z176" s="16"/>
      <c r="AA176" s="16"/>
      <c r="AB176" s="22"/>
    </row>
    <row r="177" spans="1:28" x14ac:dyDescent="0.3">
      <c r="A177" s="22"/>
      <c r="B177" s="22"/>
      <c r="C177" s="22"/>
      <c r="D177" s="22"/>
      <c r="E177" s="22"/>
      <c r="F177" s="22"/>
      <c r="G177" s="22"/>
      <c r="H177" s="22"/>
      <c r="I177" s="24" t="str">
        <f t="shared" si="4"/>
        <v/>
      </c>
      <c r="J177" s="25" t="str">
        <f t="shared" si="5"/>
        <v/>
      </c>
      <c r="K177" s="22"/>
      <c r="L177" s="22"/>
      <c r="M177" s="25" t="str">
        <f>IF(AND(L177&gt;=ref!$L$2,L177&lt;=ref!$M$2),ref!$K$2,IF(AND(L177&gt;=ref!$L$3,L177&lt;=ref!$M$3),ref!$K$3,IF(AND(L177&gt;=ref!$L$4,L177&lt;=ref!$M$4),ref!$K$4,IF(AND(L177&gt;=ref!$L$5,L177&lt;=ref!$M$5),ref!$K$5,IF(AND(L177&gt;=ref!$L$6,L177&lt;=ref!$M$6),ref!$K$6,IF(AND(L177&gt;=ref!$L$7,L177&lt;=ref!$M$7),ref!$K$7,IF(AND(L177&gt;=ref!$L$8,L177&lt;=ref!$M$8),ref!$K$8,IF(AND(L177&gt;=ref!$L$9,L177&lt;=ref!$M$9),ref!$K$9,IF(AND(L177&gt;=ref!$L$11,L177&lt;=ref!$M$11),ref!$K$11,IF(AND(L177&gt;=ref!$L$12,L177&lt;=ref!$M$12),ref!$K$12,""))))))))))</f>
        <v/>
      </c>
      <c r="N177" s="22"/>
      <c r="O177" s="16"/>
      <c r="P177" s="22"/>
      <c r="Q177" s="27"/>
      <c r="R177" s="22"/>
      <c r="S177" s="22"/>
      <c r="T177" s="16"/>
      <c r="U177" s="16"/>
      <c r="V177" s="16"/>
      <c r="W177" s="16"/>
      <c r="X177" s="16"/>
      <c r="Y177" s="16"/>
      <c r="Z177" s="16"/>
      <c r="AA177" s="16"/>
      <c r="AB177" s="22"/>
    </row>
    <row r="178" spans="1:28" x14ac:dyDescent="0.3">
      <c r="A178" s="22"/>
      <c r="B178" s="22"/>
      <c r="C178" s="22"/>
      <c r="D178" s="22"/>
      <c r="E178" s="22"/>
      <c r="F178" s="22"/>
      <c r="G178" s="22"/>
      <c r="H178" s="22"/>
      <c r="I178" s="24" t="str">
        <f t="shared" si="4"/>
        <v/>
      </c>
      <c r="J178" s="25" t="str">
        <f t="shared" si="5"/>
        <v/>
      </c>
      <c r="K178" s="22"/>
      <c r="L178" s="22"/>
      <c r="M178" s="25" t="str">
        <f>IF(AND(L178&gt;=ref!$L$2,L178&lt;=ref!$M$2),ref!$K$2,IF(AND(L178&gt;=ref!$L$3,L178&lt;=ref!$M$3),ref!$K$3,IF(AND(L178&gt;=ref!$L$4,L178&lt;=ref!$M$4),ref!$K$4,IF(AND(L178&gt;=ref!$L$5,L178&lt;=ref!$M$5),ref!$K$5,IF(AND(L178&gt;=ref!$L$6,L178&lt;=ref!$M$6),ref!$K$6,IF(AND(L178&gt;=ref!$L$7,L178&lt;=ref!$M$7),ref!$K$7,IF(AND(L178&gt;=ref!$L$8,L178&lt;=ref!$M$8),ref!$K$8,IF(AND(L178&gt;=ref!$L$9,L178&lt;=ref!$M$9),ref!$K$9,IF(AND(L178&gt;=ref!$L$11,L178&lt;=ref!$M$11),ref!$K$11,IF(AND(L178&gt;=ref!$L$12,L178&lt;=ref!$M$12),ref!$K$12,""))))))))))</f>
        <v/>
      </c>
      <c r="N178" s="22"/>
      <c r="O178" s="16"/>
      <c r="P178" s="22"/>
      <c r="Q178" s="27"/>
      <c r="R178" s="22"/>
      <c r="S178" s="22"/>
      <c r="T178" s="16"/>
      <c r="U178" s="16"/>
      <c r="V178" s="16"/>
      <c r="W178" s="16"/>
      <c r="X178" s="16"/>
      <c r="Y178" s="16"/>
      <c r="Z178" s="16"/>
      <c r="AA178" s="16"/>
      <c r="AB178" s="22"/>
    </row>
    <row r="179" spans="1:28" x14ac:dyDescent="0.3">
      <c r="A179" s="22"/>
      <c r="B179" s="22"/>
      <c r="C179" s="22"/>
      <c r="D179" s="22"/>
      <c r="E179" s="22"/>
      <c r="F179" s="22"/>
      <c r="G179" s="22"/>
      <c r="H179" s="22"/>
      <c r="I179" s="24" t="str">
        <f t="shared" si="4"/>
        <v/>
      </c>
      <c r="J179" s="25" t="str">
        <f t="shared" si="5"/>
        <v/>
      </c>
      <c r="K179" s="22"/>
      <c r="L179" s="22"/>
      <c r="M179" s="25" t="str">
        <f>IF(AND(L179&gt;=ref!$L$2,L179&lt;=ref!$M$2),ref!$K$2,IF(AND(L179&gt;=ref!$L$3,L179&lt;=ref!$M$3),ref!$K$3,IF(AND(L179&gt;=ref!$L$4,L179&lt;=ref!$M$4),ref!$K$4,IF(AND(L179&gt;=ref!$L$5,L179&lt;=ref!$M$5),ref!$K$5,IF(AND(L179&gt;=ref!$L$6,L179&lt;=ref!$M$6),ref!$K$6,IF(AND(L179&gt;=ref!$L$7,L179&lt;=ref!$M$7),ref!$K$7,IF(AND(L179&gt;=ref!$L$8,L179&lt;=ref!$M$8),ref!$K$8,IF(AND(L179&gt;=ref!$L$9,L179&lt;=ref!$M$9),ref!$K$9,IF(AND(L179&gt;=ref!$L$11,L179&lt;=ref!$M$11),ref!$K$11,IF(AND(L179&gt;=ref!$L$12,L179&lt;=ref!$M$12),ref!$K$12,""))))))))))</f>
        <v/>
      </c>
      <c r="N179" s="22"/>
      <c r="O179" s="16"/>
      <c r="P179" s="22"/>
      <c r="Q179" s="27"/>
      <c r="R179" s="22"/>
      <c r="S179" s="22"/>
      <c r="T179" s="16"/>
      <c r="U179" s="16"/>
      <c r="V179" s="16"/>
      <c r="W179" s="16"/>
      <c r="X179" s="16"/>
      <c r="Y179" s="16"/>
      <c r="Z179" s="16"/>
      <c r="AA179" s="16"/>
      <c r="AB179" s="22"/>
    </row>
    <row r="180" spans="1:28" x14ac:dyDescent="0.3">
      <c r="A180" s="22"/>
      <c r="B180" s="22"/>
      <c r="C180" s="22"/>
      <c r="D180" s="22"/>
      <c r="E180" s="22"/>
      <c r="F180" s="22"/>
      <c r="G180" s="22"/>
      <c r="H180" s="22"/>
      <c r="I180" s="24" t="str">
        <f t="shared" si="4"/>
        <v/>
      </c>
      <c r="J180" s="25" t="str">
        <f t="shared" si="5"/>
        <v/>
      </c>
      <c r="K180" s="22"/>
      <c r="L180" s="22"/>
      <c r="M180" s="25" t="str">
        <f>IF(AND(L180&gt;=ref!$L$2,L180&lt;=ref!$M$2),ref!$K$2,IF(AND(L180&gt;=ref!$L$3,L180&lt;=ref!$M$3),ref!$K$3,IF(AND(L180&gt;=ref!$L$4,L180&lt;=ref!$M$4),ref!$K$4,IF(AND(L180&gt;=ref!$L$5,L180&lt;=ref!$M$5),ref!$K$5,IF(AND(L180&gt;=ref!$L$6,L180&lt;=ref!$M$6),ref!$K$6,IF(AND(L180&gt;=ref!$L$7,L180&lt;=ref!$M$7),ref!$K$7,IF(AND(L180&gt;=ref!$L$8,L180&lt;=ref!$M$8),ref!$K$8,IF(AND(L180&gt;=ref!$L$9,L180&lt;=ref!$M$9),ref!$K$9,IF(AND(L180&gt;=ref!$L$11,L180&lt;=ref!$M$11),ref!$K$11,IF(AND(L180&gt;=ref!$L$12,L180&lt;=ref!$M$12),ref!$K$12,""))))))))))</f>
        <v/>
      </c>
      <c r="N180" s="22"/>
      <c r="O180" s="16"/>
      <c r="P180" s="22"/>
      <c r="Q180" s="27"/>
      <c r="R180" s="22"/>
      <c r="S180" s="22"/>
      <c r="T180" s="16"/>
      <c r="U180" s="16"/>
      <c r="V180" s="16"/>
      <c r="W180" s="16"/>
      <c r="X180" s="16"/>
      <c r="Y180" s="16"/>
      <c r="Z180" s="16"/>
      <c r="AA180" s="16"/>
      <c r="AB180" s="22"/>
    </row>
    <row r="181" spans="1:28" x14ac:dyDescent="0.3">
      <c r="A181" s="22"/>
      <c r="B181" s="22"/>
      <c r="C181" s="22"/>
      <c r="D181" s="22"/>
      <c r="E181" s="22"/>
      <c r="F181" s="22"/>
      <c r="G181" s="22"/>
      <c r="H181" s="22"/>
      <c r="I181" s="24" t="str">
        <f t="shared" si="4"/>
        <v/>
      </c>
      <c r="J181" s="25" t="str">
        <f t="shared" si="5"/>
        <v/>
      </c>
      <c r="K181" s="22"/>
      <c r="L181" s="22"/>
      <c r="M181" s="25" t="str">
        <f>IF(AND(L181&gt;=ref!$L$2,L181&lt;=ref!$M$2),ref!$K$2,IF(AND(L181&gt;=ref!$L$3,L181&lt;=ref!$M$3),ref!$K$3,IF(AND(L181&gt;=ref!$L$4,L181&lt;=ref!$M$4),ref!$K$4,IF(AND(L181&gt;=ref!$L$5,L181&lt;=ref!$M$5),ref!$K$5,IF(AND(L181&gt;=ref!$L$6,L181&lt;=ref!$M$6),ref!$K$6,IF(AND(L181&gt;=ref!$L$7,L181&lt;=ref!$M$7),ref!$K$7,IF(AND(L181&gt;=ref!$L$8,L181&lt;=ref!$M$8),ref!$K$8,IF(AND(L181&gt;=ref!$L$9,L181&lt;=ref!$M$9),ref!$K$9,IF(AND(L181&gt;=ref!$L$11,L181&lt;=ref!$M$11),ref!$K$11,IF(AND(L181&gt;=ref!$L$12,L181&lt;=ref!$M$12),ref!$K$12,""))))))))))</f>
        <v/>
      </c>
      <c r="N181" s="22"/>
      <c r="O181" s="16"/>
      <c r="P181" s="22"/>
      <c r="Q181" s="27"/>
      <c r="R181" s="22"/>
      <c r="S181" s="22"/>
      <c r="T181" s="16"/>
      <c r="U181" s="16"/>
      <c r="V181" s="16"/>
      <c r="W181" s="16"/>
      <c r="X181" s="16"/>
      <c r="Y181" s="16"/>
      <c r="Z181" s="16"/>
      <c r="AA181" s="16"/>
      <c r="AB181" s="22"/>
    </row>
    <row r="182" spans="1:28" x14ac:dyDescent="0.3">
      <c r="A182" s="22"/>
      <c r="B182" s="22"/>
      <c r="C182" s="22"/>
      <c r="D182" s="22"/>
      <c r="E182" s="22"/>
      <c r="F182" s="22"/>
      <c r="G182" s="22"/>
      <c r="H182" s="22"/>
      <c r="I182" s="24" t="str">
        <f t="shared" si="4"/>
        <v/>
      </c>
      <c r="J182" s="25" t="str">
        <f t="shared" si="5"/>
        <v/>
      </c>
      <c r="K182" s="22"/>
      <c r="L182" s="22"/>
      <c r="M182" s="25" t="str">
        <f>IF(AND(L182&gt;=ref!$L$2,L182&lt;=ref!$M$2),ref!$K$2,IF(AND(L182&gt;=ref!$L$3,L182&lt;=ref!$M$3),ref!$K$3,IF(AND(L182&gt;=ref!$L$4,L182&lt;=ref!$M$4),ref!$K$4,IF(AND(L182&gt;=ref!$L$5,L182&lt;=ref!$M$5),ref!$K$5,IF(AND(L182&gt;=ref!$L$6,L182&lt;=ref!$M$6),ref!$K$6,IF(AND(L182&gt;=ref!$L$7,L182&lt;=ref!$M$7),ref!$K$7,IF(AND(L182&gt;=ref!$L$8,L182&lt;=ref!$M$8),ref!$K$8,IF(AND(L182&gt;=ref!$L$9,L182&lt;=ref!$M$9),ref!$K$9,IF(AND(L182&gt;=ref!$L$11,L182&lt;=ref!$M$11),ref!$K$11,IF(AND(L182&gt;=ref!$L$12,L182&lt;=ref!$M$12),ref!$K$12,""))))))))))</f>
        <v/>
      </c>
      <c r="N182" s="22"/>
      <c r="O182" s="16"/>
      <c r="P182" s="22"/>
      <c r="Q182" s="27"/>
      <c r="R182" s="22"/>
      <c r="S182" s="22"/>
      <c r="T182" s="16"/>
      <c r="U182" s="16"/>
      <c r="V182" s="16"/>
      <c r="W182" s="16"/>
      <c r="X182" s="16"/>
      <c r="Y182" s="16"/>
      <c r="Z182" s="16"/>
      <c r="AA182" s="16"/>
      <c r="AB182" s="22"/>
    </row>
    <row r="183" spans="1:28" x14ac:dyDescent="0.3">
      <c r="A183" s="22"/>
      <c r="B183" s="22"/>
      <c r="C183" s="22"/>
      <c r="D183" s="22"/>
      <c r="E183" s="22"/>
      <c r="F183" s="22"/>
      <c r="G183" s="22"/>
      <c r="H183" s="22"/>
      <c r="I183" s="24" t="str">
        <f t="shared" si="4"/>
        <v/>
      </c>
      <c r="J183" s="25" t="str">
        <f t="shared" si="5"/>
        <v/>
      </c>
      <c r="K183" s="22"/>
      <c r="L183" s="22"/>
      <c r="M183" s="25" t="str">
        <f>IF(AND(L183&gt;=ref!$L$2,L183&lt;=ref!$M$2),ref!$K$2,IF(AND(L183&gt;=ref!$L$3,L183&lt;=ref!$M$3),ref!$K$3,IF(AND(L183&gt;=ref!$L$4,L183&lt;=ref!$M$4),ref!$K$4,IF(AND(L183&gt;=ref!$L$5,L183&lt;=ref!$M$5),ref!$K$5,IF(AND(L183&gt;=ref!$L$6,L183&lt;=ref!$M$6),ref!$K$6,IF(AND(L183&gt;=ref!$L$7,L183&lt;=ref!$M$7),ref!$K$7,IF(AND(L183&gt;=ref!$L$8,L183&lt;=ref!$M$8),ref!$K$8,IF(AND(L183&gt;=ref!$L$9,L183&lt;=ref!$M$9),ref!$K$9,IF(AND(L183&gt;=ref!$L$11,L183&lt;=ref!$M$11),ref!$K$11,IF(AND(L183&gt;=ref!$L$12,L183&lt;=ref!$M$12),ref!$K$12,""))))))))))</f>
        <v/>
      </c>
      <c r="N183" s="22"/>
      <c r="O183" s="16"/>
      <c r="P183" s="22"/>
      <c r="Q183" s="27"/>
      <c r="R183" s="22"/>
      <c r="S183" s="22"/>
      <c r="T183" s="16"/>
      <c r="U183" s="16"/>
      <c r="V183" s="16"/>
      <c r="W183" s="16"/>
      <c r="X183" s="16"/>
      <c r="Y183" s="16"/>
      <c r="Z183" s="16"/>
      <c r="AA183" s="16"/>
      <c r="AB183" s="22"/>
    </row>
    <row r="184" spans="1:28" x14ac:dyDescent="0.3">
      <c r="A184" s="22"/>
      <c r="B184" s="22"/>
      <c r="C184" s="22"/>
      <c r="D184" s="22"/>
      <c r="E184" s="22"/>
      <c r="F184" s="22"/>
      <c r="G184" s="22"/>
      <c r="H184" s="22"/>
      <c r="I184" s="24" t="str">
        <f t="shared" si="4"/>
        <v/>
      </c>
      <c r="J184" s="25" t="str">
        <f t="shared" si="5"/>
        <v/>
      </c>
      <c r="K184" s="22"/>
      <c r="L184" s="22"/>
      <c r="M184" s="25" t="str">
        <f>IF(AND(L184&gt;=ref!$L$2,L184&lt;=ref!$M$2),ref!$K$2,IF(AND(L184&gt;=ref!$L$3,L184&lt;=ref!$M$3),ref!$K$3,IF(AND(L184&gt;=ref!$L$4,L184&lt;=ref!$M$4),ref!$K$4,IF(AND(L184&gt;=ref!$L$5,L184&lt;=ref!$M$5),ref!$K$5,IF(AND(L184&gt;=ref!$L$6,L184&lt;=ref!$M$6),ref!$K$6,IF(AND(L184&gt;=ref!$L$7,L184&lt;=ref!$M$7),ref!$K$7,IF(AND(L184&gt;=ref!$L$8,L184&lt;=ref!$M$8),ref!$K$8,IF(AND(L184&gt;=ref!$L$9,L184&lt;=ref!$M$9),ref!$K$9,IF(AND(L184&gt;=ref!$L$11,L184&lt;=ref!$M$11),ref!$K$11,IF(AND(L184&gt;=ref!$L$12,L184&lt;=ref!$M$12),ref!$K$12,""))))))))))</f>
        <v/>
      </c>
      <c r="N184" s="22"/>
      <c r="O184" s="16"/>
      <c r="P184" s="22"/>
      <c r="Q184" s="27"/>
      <c r="R184" s="22"/>
      <c r="S184" s="22"/>
      <c r="T184" s="16"/>
      <c r="U184" s="16"/>
      <c r="V184" s="16"/>
      <c r="W184" s="16"/>
      <c r="X184" s="16"/>
      <c r="Y184" s="16"/>
      <c r="Z184" s="16"/>
      <c r="AA184" s="16"/>
      <c r="AB184" s="22"/>
    </row>
    <row r="185" spans="1:28" x14ac:dyDescent="0.3">
      <c r="A185" s="22"/>
      <c r="B185" s="22"/>
      <c r="C185" s="22"/>
      <c r="D185" s="22"/>
      <c r="E185" s="22"/>
      <c r="F185" s="22"/>
      <c r="G185" s="22"/>
      <c r="H185" s="22"/>
      <c r="I185" s="24" t="str">
        <f t="shared" si="4"/>
        <v/>
      </c>
      <c r="J185" s="25" t="str">
        <f t="shared" si="5"/>
        <v/>
      </c>
      <c r="K185" s="22"/>
      <c r="L185" s="22"/>
      <c r="M185" s="25" t="str">
        <f>IF(AND(L185&gt;=ref!$L$2,L185&lt;=ref!$M$2),ref!$K$2,IF(AND(L185&gt;=ref!$L$3,L185&lt;=ref!$M$3),ref!$K$3,IF(AND(L185&gt;=ref!$L$4,L185&lt;=ref!$M$4),ref!$K$4,IF(AND(L185&gt;=ref!$L$5,L185&lt;=ref!$M$5),ref!$K$5,IF(AND(L185&gt;=ref!$L$6,L185&lt;=ref!$M$6),ref!$K$6,IF(AND(L185&gt;=ref!$L$7,L185&lt;=ref!$M$7),ref!$K$7,IF(AND(L185&gt;=ref!$L$8,L185&lt;=ref!$M$8),ref!$K$8,IF(AND(L185&gt;=ref!$L$9,L185&lt;=ref!$M$9),ref!$K$9,IF(AND(L185&gt;=ref!$L$11,L185&lt;=ref!$M$11),ref!$K$11,IF(AND(L185&gt;=ref!$L$12,L185&lt;=ref!$M$12),ref!$K$12,""))))))))))</f>
        <v/>
      </c>
      <c r="N185" s="22"/>
      <c r="O185" s="16"/>
      <c r="P185" s="22"/>
      <c r="Q185" s="27"/>
      <c r="R185" s="22"/>
      <c r="S185" s="22"/>
      <c r="T185" s="16"/>
      <c r="U185" s="16"/>
      <c r="V185" s="16"/>
      <c r="W185" s="16"/>
      <c r="X185" s="16"/>
      <c r="Y185" s="16"/>
      <c r="Z185" s="16"/>
      <c r="AA185" s="16"/>
      <c r="AB185" s="22"/>
    </row>
    <row r="186" spans="1:28" x14ac:dyDescent="0.3">
      <c r="A186" s="22"/>
      <c r="B186" s="22"/>
      <c r="C186" s="22"/>
      <c r="D186" s="22"/>
      <c r="E186" s="22"/>
      <c r="F186" s="22"/>
      <c r="G186" s="22"/>
      <c r="H186" s="22"/>
      <c r="I186" s="24" t="str">
        <f t="shared" si="4"/>
        <v/>
      </c>
      <c r="J186" s="25" t="str">
        <f t="shared" si="5"/>
        <v/>
      </c>
      <c r="K186" s="22"/>
      <c r="L186" s="22"/>
      <c r="M186" s="25" t="str">
        <f>IF(AND(L186&gt;=ref!$L$2,L186&lt;=ref!$M$2),ref!$K$2,IF(AND(L186&gt;=ref!$L$3,L186&lt;=ref!$M$3),ref!$K$3,IF(AND(L186&gt;=ref!$L$4,L186&lt;=ref!$M$4),ref!$K$4,IF(AND(L186&gt;=ref!$L$5,L186&lt;=ref!$M$5),ref!$K$5,IF(AND(L186&gt;=ref!$L$6,L186&lt;=ref!$M$6),ref!$K$6,IF(AND(L186&gt;=ref!$L$7,L186&lt;=ref!$M$7),ref!$K$7,IF(AND(L186&gt;=ref!$L$8,L186&lt;=ref!$M$8),ref!$K$8,IF(AND(L186&gt;=ref!$L$9,L186&lt;=ref!$M$9),ref!$K$9,IF(AND(L186&gt;=ref!$L$11,L186&lt;=ref!$M$11),ref!$K$11,IF(AND(L186&gt;=ref!$L$12,L186&lt;=ref!$M$12),ref!$K$12,""))))))))))</f>
        <v/>
      </c>
      <c r="N186" s="22"/>
      <c r="O186" s="16"/>
      <c r="P186" s="22"/>
      <c r="Q186" s="27"/>
      <c r="R186" s="22"/>
      <c r="S186" s="22"/>
      <c r="T186" s="16"/>
      <c r="U186" s="16"/>
      <c r="V186" s="16"/>
      <c r="W186" s="16"/>
      <c r="X186" s="16"/>
      <c r="Y186" s="16"/>
      <c r="Z186" s="16"/>
      <c r="AA186" s="16"/>
      <c r="AB186" s="22"/>
    </row>
    <row r="187" spans="1:28" x14ac:dyDescent="0.3">
      <c r="A187" s="22"/>
      <c r="B187" s="22"/>
      <c r="C187" s="22"/>
      <c r="D187" s="22"/>
      <c r="E187" s="22"/>
      <c r="F187" s="22"/>
      <c r="G187" s="22"/>
      <c r="H187" s="22"/>
      <c r="I187" s="24" t="str">
        <f t="shared" si="4"/>
        <v/>
      </c>
      <c r="J187" s="25" t="str">
        <f t="shared" si="5"/>
        <v/>
      </c>
      <c r="K187" s="22"/>
      <c r="L187" s="22"/>
      <c r="M187" s="25" t="str">
        <f>IF(AND(L187&gt;=ref!$L$2,L187&lt;=ref!$M$2),ref!$K$2,IF(AND(L187&gt;=ref!$L$3,L187&lt;=ref!$M$3),ref!$K$3,IF(AND(L187&gt;=ref!$L$4,L187&lt;=ref!$M$4),ref!$K$4,IF(AND(L187&gt;=ref!$L$5,L187&lt;=ref!$M$5),ref!$K$5,IF(AND(L187&gt;=ref!$L$6,L187&lt;=ref!$M$6),ref!$K$6,IF(AND(L187&gt;=ref!$L$7,L187&lt;=ref!$M$7),ref!$K$7,IF(AND(L187&gt;=ref!$L$8,L187&lt;=ref!$M$8),ref!$K$8,IF(AND(L187&gt;=ref!$L$9,L187&lt;=ref!$M$9),ref!$K$9,IF(AND(L187&gt;=ref!$L$11,L187&lt;=ref!$M$11),ref!$K$11,IF(AND(L187&gt;=ref!$L$12,L187&lt;=ref!$M$12),ref!$K$12,""))))))))))</f>
        <v/>
      </c>
      <c r="N187" s="22"/>
      <c r="O187" s="16"/>
      <c r="P187" s="22"/>
      <c r="Q187" s="27"/>
      <c r="R187" s="22"/>
      <c r="S187" s="22"/>
      <c r="T187" s="16"/>
      <c r="U187" s="16"/>
      <c r="V187" s="16"/>
      <c r="W187" s="16"/>
      <c r="X187" s="16"/>
      <c r="Y187" s="16"/>
      <c r="Z187" s="16"/>
      <c r="AA187" s="16"/>
      <c r="AB187" s="22"/>
    </row>
    <row r="188" spans="1:28" x14ac:dyDescent="0.3">
      <c r="A188" s="22"/>
      <c r="B188" s="22"/>
      <c r="C188" s="22"/>
      <c r="D188" s="22"/>
      <c r="E188" s="22"/>
      <c r="F188" s="22"/>
      <c r="G188" s="22"/>
      <c r="H188" s="22"/>
      <c r="I188" s="24" t="str">
        <f t="shared" si="4"/>
        <v/>
      </c>
      <c r="J188" s="25" t="str">
        <f t="shared" si="5"/>
        <v/>
      </c>
      <c r="K188" s="22"/>
      <c r="L188" s="22"/>
      <c r="M188" s="25" t="str">
        <f>IF(AND(L188&gt;=ref!$L$2,L188&lt;=ref!$M$2),ref!$K$2,IF(AND(L188&gt;=ref!$L$3,L188&lt;=ref!$M$3),ref!$K$3,IF(AND(L188&gt;=ref!$L$4,L188&lt;=ref!$M$4),ref!$K$4,IF(AND(L188&gt;=ref!$L$5,L188&lt;=ref!$M$5),ref!$K$5,IF(AND(L188&gt;=ref!$L$6,L188&lt;=ref!$M$6),ref!$K$6,IF(AND(L188&gt;=ref!$L$7,L188&lt;=ref!$M$7),ref!$K$7,IF(AND(L188&gt;=ref!$L$8,L188&lt;=ref!$M$8),ref!$K$8,IF(AND(L188&gt;=ref!$L$9,L188&lt;=ref!$M$9),ref!$K$9,IF(AND(L188&gt;=ref!$L$11,L188&lt;=ref!$M$11),ref!$K$11,IF(AND(L188&gt;=ref!$L$12,L188&lt;=ref!$M$12),ref!$K$12,""))))))))))</f>
        <v/>
      </c>
      <c r="N188" s="22"/>
      <c r="O188" s="16"/>
      <c r="P188" s="22"/>
      <c r="Q188" s="27"/>
      <c r="R188" s="22"/>
      <c r="S188" s="22"/>
      <c r="T188" s="16"/>
      <c r="U188" s="16"/>
      <c r="V188" s="16"/>
      <c r="W188" s="16"/>
      <c r="X188" s="16"/>
      <c r="Y188" s="16"/>
      <c r="Z188" s="16"/>
      <c r="AA188" s="16"/>
      <c r="AB188" s="22"/>
    </row>
    <row r="189" spans="1:28" x14ac:dyDescent="0.3">
      <c r="A189" s="22"/>
      <c r="B189" s="22"/>
      <c r="C189" s="22"/>
      <c r="D189" s="22"/>
      <c r="E189" s="22"/>
      <c r="F189" s="22"/>
      <c r="G189" s="22"/>
      <c r="H189" s="22"/>
      <c r="I189" s="24" t="str">
        <f t="shared" si="4"/>
        <v/>
      </c>
      <c r="J189" s="25" t="str">
        <f t="shared" si="5"/>
        <v/>
      </c>
      <c r="K189" s="22"/>
      <c r="L189" s="22"/>
      <c r="M189" s="25" t="str">
        <f>IF(AND(L189&gt;=ref!$L$2,L189&lt;=ref!$M$2),ref!$K$2,IF(AND(L189&gt;=ref!$L$3,L189&lt;=ref!$M$3),ref!$K$3,IF(AND(L189&gt;=ref!$L$4,L189&lt;=ref!$M$4),ref!$K$4,IF(AND(L189&gt;=ref!$L$5,L189&lt;=ref!$M$5),ref!$K$5,IF(AND(L189&gt;=ref!$L$6,L189&lt;=ref!$M$6),ref!$K$6,IF(AND(L189&gt;=ref!$L$7,L189&lt;=ref!$M$7),ref!$K$7,IF(AND(L189&gt;=ref!$L$8,L189&lt;=ref!$M$8),ref!$K$8,IF(AND(L189&gt;=ref!$L$9,L189&lt;=ref!$M$9),ref!$K$9,IF(AND(L189&gt;=ref!$L$11,L189&lt;=ref!$M$11),ref!$K$11,IF(AND(L189&gt;=ref!$L$12,L189&lt;=ref!$M$12),ref!$K$12,""))))))))))</f>
        <v/>
      </c>
      <c r="N189" s="22"/>
      <c r="O189" s="16"/>
      <c r="P189" s="22"/>
      <c r="Q189" s="27"/>
      <c r="R189" s="22"/>
      <c r="S189" s="22"/>
      <c r="T189" s="16"/>
      <c r="U189" s="16"/>
      <c r="V189" s="16"/>
      <c r="W189" s="16"/>
      <c r="X189" s="16"/>
      <c r="Y189" s="16"/>
      <c r="Z189" s="16"/>
      <c r="AA189" s="16"/>
      <c r="AB189" s="22"/>
    </row>
    <row r="190" spans="1:28" x14ac:dyDescent="0.3">
      <c r="A190" s="22"/>
      <c r="B190" s="22"/>
      <c r="C190" s="22"/>
      <c r="D190" s="22"/>
      <c r="E190" s="22"/>
      <c r="F190" s="22"/>
      <c r="G190" s="22"/>
      <c r="H190" s="22"/>
      <c r="I190" s="24" t="str">
        <f t="shared" si="4"/>
        <v/>
      </c>
      <c r="J190" s="25" t="str">
        <f t="shared" si="5"/>
        <v/>
      </c>
      <c r="K190" s="22"/>
      <c r="L190" s="22"/>
      <c r="M190" s="25" t="str">
        <f>IF(AND(L190&gt;=ref!$L$2,L190&lt;=ref!$M$2),ref!$K$2,IF(AND(L190&gt;=ref!$L$3,L190&lt;=ref!$M$3),ref!$K$3,IF(AND(L190&gt;=ref!$L$4,L190&lt;=ref!$M$4),ref!$K$4,IF(AND(L190&gt;=ref!$L$5,L190&lt;=ref!$M$5),ref!$K$5,IF(AND(L190&gt;=ref!$L$6,L190&lt;=ref!$M$6),ref!$K$6,IF(AND(L190&gt;=ref!$L$7,L190&lt;=ref!$M$7),ref!$K$7,IF(AND(L190&gt;=ref!$L$8,L190&lt;=ref!$M$8),ref!$K$8,IF(AND(L190&gt;=ref!$L$9,L190&lt;=ref!$M$9),ref!$K$9,IF(AND(L190&gt;=ref!$L$11,L190&lt;=ref!$M$11),ref!$K$11,IF(AND(L190&gt;=ref!$L$12,L190&lt;=ref!$M$12),ref!$K$12,""))))))))))</f>
        <v/>
      </c>
      <c r="N190" s="22"/>
      <c r="O190" s="16"/>
      <c r="P190" s="22"/>
      <c r="Q190" s="27"/>
      <c r="R190" s="22"/>
      <c r="S190" s="22"/>
      <c r="T190" s="16"/>
      <c r="U190" s="16"/>
      <c r="V190" s="16"/>
      <c r="W190" s="16"/>
      <c r="X190" s="16"/>
      <c r="Y190" s="16"/>
      <c r="Z190" s="16"/>
      <c r="AA190" s="16"/>
      <c r="AB190" s="22"/>
    </row>
    <row r="191" spans="1:28" x14ac:dyDescent="0.3">
      <c r="A191" s="22"/>
      <c r="B191" s="22"/>
      <c r="C191" s="22"/>
      <c r="D191" s="22"/>
      <c r="E191" s="22"/>
      <c r="F191" s="22"/>
      <c r="G191" s="22"/>
      <c r="H191" s="22"/>
      <c r="I191" s="24" t="str">
        <f t="shared" si="4"/>
        <v/>
      </c>
      <c r="J191" s="25" t="str">
        <f t="shared" si="5"/>
        <v/>
      </c>
      <c r="K191" s="22"/>
      <c r="L191" s="22"/>
      <c r="M191" s="25" t="str">
        <f>IF(AND(L191&gt;=ref!$L$2,L191&lt;=ref!$M$2),ref!$K$2,IF(AND(L191&gt;=ref!$L$3,L191&lt;=ref!$M$3),ref!$K$3,IF(AND(L191&gt;=ref!$L$4,L191&lt;=ref!$M$4),ref!$K$4,IF(AND(L191&gt;=ref!$L$5,L191&lt;=ref!$M$5),ref!$K$5,IF(AND(L191&gt;=ref!$L$6,L191&lt;=ref!$M$6),ref!$K$6,IF(AND(L191&gt;=ref!$L$7,L191&lt;=ref!$M$7),ref!$K$7,IF(AND(L191&gt;=ref!$L$8,L191&lt;=ref!$M$8),ref!$K$8,IF(AND(L191&gt;=ref!$L$9,L191&lt;=ref!$M$9),ref!$K$9,IF(AND(L191&gt;=ref!$L$11,L191&lt;=ref!$M$11),ref!$K$11,IF(AND(L191&gt;=ref!$L$12,L191&lt;=ref!$M$12),ref!$K$12,""))))))))))</f>
        <v/>
      </c>
      <c r="N191" s="22"/>
      <c r="O191" s="16"/>
      <c r="P191" s="22"/>
      <c r="Q191" s="27"/>
      <c r="R191" s="22"/>
      <c r="S191" s="22"/>
      <c r="T191" s="16"/>
      <c r="U191" s="16"/>
      <c r="V191" s="16"/>
      <c r="W191" s="16"/>
      <c r="X191" s="16"/>
      <c r="Y191" s="16"/>
      <c r="Z191" s="16"/>
      <c r="AA191" s="16"/>
      <c r="AB191" s="22"/>
    </row>
    <row r="192" spans="1:28" x14ac:dyDescent="0.3">
      <c r="A192" s="22"/>
      <c r="B192" s="22"/>
      <c r="C192" s="22"/>
      <c r="D192" s="22"/>
      <c r="E192" s="22"/>
      <c r="F192" s="22"/>
      <c r="G192" s="22"/>
      <c r="H192" s="22"/>
      <c r="I192" s="24" t="str">
        <f t="shared" si="4"/>
        <v/>
      </c>
      <c r="J192" s="25" t="str">
        <f t="shared" si="5"/>
        <v/>
      </c>
      <c r="K192" s="22"/>
      <c r="L192" s="22"/>
      <c r="M192" s="25" t="str">
        <f>IF(AND(L192&gt;=ref!$L$2,L192&lt;=ref!$M$2),ref!$K$2,IF(AND(L192&gt;=ref!$L$3,L192&lt;=ref!$M$3),ref!$K$3,IF(AND(L192&gt;=ref!$L$4,L192&lt;=ref!$M$4),ref!$K$4,IF(AND(L192&gt;=ref!$L$5,L192&lt;=ref!$M$5),ref!$K$5,IF(AND(L192&gt;=ref!$L$6,L192&lt;=ref!$M$6),ref!$K$6,IF(AND(L192&gt;=ref!$L$7,L192&lt;=ref!$M$7),ref!$K$7,IF(AND(L192&gt;=ref!$L$8,L192&lt;=ref!$M$8),ref!$K$8,IF(AND(L192&gt;=ref!$L$9,L192&lt;=ref!$M$9),ref!$K$9,IF(AND(L192&gt;=ref!$L$11,L192&lt;=ref!$M$11),ref!$K$11,IF(AND(L192&gt;=ref!$L$12,L192&lt;=ref!$M$12),ref!$K$12,""))))))))))</f>
        <v/>
      </c>
      <c r="N192" s="22"/>
      <c r="O192" s="16"/>
      <c r="P192" s="22"/>
      <c r="Q192" s="27"/>
      <c r="R192" s="22"/>
      <c r="S192" s="22"/>
      <c r="T192" s="16"/>
      <c r="U192" s="16"/>
      <c r="V192" s="16"/>
      <c r="W192" s="16"/>
      <c r="X192" s="16"/>
      <c r="Y192" s="16"/>
      <c r="Z192" s="16"/>
      <c r="AA192" s="16"/>
      <c r="AB192" s="22"/>
    </row>
    <row r="193" spans="1:28" x14ac:dyDescent="0.3">
      <c r="A193" s="22"/>
      <c r="B193" s="22"/>
      <c r="C193" s="22"/>
      <c r="D193" s="22"/>
      <c r="E193" s="22"/>
      <c r="F193" s="22"/>
      <c r="G193" s="22"/>
      <c r="H193" s="22"/>
      <c r="I193" s="24" t="str">
        <f t="shared" si="4"/>
        <v/>
      </c>
      <c r="J193" s="25" t="str">
        <f t="shared" si="5"/>
        <v/>
      </c>
      <c r="K193" s="22"/>
      <c r="L193" s="22"/>
      <c r="M193" s="25" t="str">
        <f>IF(AND(L193&gt;=ref!$L$2,L193&lt;=ref!$M$2),ref!$K$2,IF(AND(L193&gt;=ref!$L$3,L193&lt;=ref!$M$3),ref!$K$3,IF(AND(L193&gt;=ref!$L$4,L193&lt;=ref!$M$4),ref!$K$4,IF(AND(L193&gt;=ref!$L$5,L193&lt;=ref!$M$5),ref!$K$5,IF(AND(L193&gt;=ref!$L$6,L193&lt;=ref!$M$6),ref!$K$6,IF(AND(L193&gt;=ref!$L$7,L193&lt;=ref!$M$7),ref!$K$7,IF(AND(L193&gt;=ref!$L$8,L193&lt;=ref!$M$8),ref!$K$8,IF(AND(L193&gt;=ref!$L$9,L193&lt;=ref!$M$9),ref!$K$9,IF(AND(L193&gt;=ref!$L$11,L193&lt;=ref!$M$11),ref!$K$11,IF(AND(L193&gt;=ref!$L$12,L193&lt;=ref!$M$12),ref!$K$12,""))))))))))</f>
        <v/>
      </c>
      <c r="N193" s="22"/>
      <c r="O193" s="16"/>
      <c r="P193" s="22"/>
      <c r="Q193" s="27"/>
      <c r="R193" s="22"/>
      <c r="S193" s="22"/>
      <c r="T193" s="16"/>
      <c r="U193" s="16"/>
      <c r="V193" s="16"/>
      <c r="W193" s="16"/>
      <c r="X193" s="16"/>
      <c r="Y193" s="16"/>
      <c r="Z193" s="16"/>
      <c r="AA193" s="16"/>
      <c r="AB193" s="22"/>
    </row>
    <row r="194" spans="1:28" x14ac:dyDescent="0.3">
      <c r="A194" s="22"/>
      <c r="B194" s="22"/>
      <c r="C194" s="22"/>
      <c r="D194" s="22"/>
      <c r="E194" s="22"/>
      <c r="F194" s="22"/>
      <c r="G194" s="22"/>
      <c r="H194" s="22"/>
      <c r="I194" s="24" t="str">
        <f t="shared" si="4"/>
        <v/>
      </c>
      <c r="J194" s="25" t="str">
        <f t="shared" si="5"/>
        <v/>
      </c>
      <c r="K194" s="22"/>
      <c r="L194" s="22"/>
      <c r="M194" s="25" t="str">
        <f>IF(AND(L194&gt;=ref!$L$2,L194&lt;=ref!$M$2),ref!$K$2,IF(AND(L194&gt;=ref!$L$3,L194&lt;=ref!$M$3),ref!$K$3,IF(AND(L194&gt;=ref!$L$4,L194&lt;=ref!$M$4),ref!$K$4,IF(AND(L194&gt;=ref!$L$5,L194&lt;=ref!$M$5),ref!$K$5,IF(AND(L194&gt;=ref!$L$6,L194&lt;=ref!$M$6),ref!$K$6,IF(AND(L194&gt;=ref!$L$7,L194&lt;=ref!$M$7),ref!$K$7,IF(AND(L194&gt;=ref!$L$8,L194&lt;=ref!$M$8),ref!$K$8,IF(AND(L194&gt;=ref!$L$9,L194&lt;=ref!$M$9),ref!$K$9,IF(AND(L194&gt;=ref!$L$11,L194&lt;=ref!$M$11),ref!$K$11,IF(AND(L194&gt;=ref!$L$12,L194&lt;=ref!$M$12),ref!$K$12,""))))))))))</f>
        <v/>
      </c>
      <c r="N194" s="22"/>
      <c r="O194" s="16"/>
      <c r="P194" s="22"/>
      <c r="Q194" s="27"/>
      <c r="R194" s="22"/>
      <c r="S194" s="22"/>
      <c r="T194" s="16"/>
      <c r="U194" s="16"/>
      <c r="V194" s="16"/>
      <c r="W194" s="16"/>
      <c r="X194" s="16"/>
      <c r="Y194" s="16"/>
      <c r="Z194" s="16"/>
      <c r="AA194" s="16"/>
      <c r="AB194" s="22"/>
    </row>
    <row r="195" spans="1:28" x14ac:dyDescent="0.3">
      <c r="A195" s="22"/>
      <c r="B195" s="22"/>
      <c r="C195" s="22"/>
      <c r="D195" s="22"/>
      <c r="E195" s="22"/>
      <c r="F195" s="22"/>
      <c r="G195" s="22"/>
      <c r="H195" s="22"/>
      <c r="I195" s="24" t="str">
        <f t="shared" si="4"/>
        <v/>
      </c>
      <c r="J195" s="25" t="str">
        <f t="shared" si="5"/>
        <v/>
      </c>
      <c r="K195" s="22"/>
      <c r="L195" s="22"/>
      <c r="M195" s="25" t="str">
        <f>IF(AND(L195&gt;=ref!$L$2,L195&lt;=ref!$M$2),ref!$K$2,IF(AND(L195&gt;=ref!$L$3,L195&lt;=ref!$M$3),ref!$K$3,IF(AND(L195&gt;=ref!$L$4,L195&lt;=ref!$M$4),ref!$K$4,IF(AND(L195&gt;=ref!$L$5,L195&lt;=ref!$M$5),ref!$K$5,IF(AND(L195&gt;=ref!$L$6,L195&lt;=ref!$M$6),ref!$K$6,IF(AND(L195&gt;=ref!$L$7,L195&lt;=ref!$M$7),ref!$K$7,IF(AND(L195&gt;=ref!$L$8,L195&lt;=ref!$M$8),ref!$K$8,IF(AND(L195&gt;=ref!$L$9,L195&lt;=ref!$M$9),ref!$K$9,IF(AND(L195&gt;=ref!$L$11,L195&lt;=ref!$M$11),ref!$K$11,IF(AND(L195&gt;=ref!$L$12,L195&lt;=ref!$M$12),ref!$K$12,""))))))))))</f>
        <v/>
      </c>
      <c r="N195" s="22"/>
      <c r="O195" s="16"/>
      <c r="P195" s="22"/>
      <c r="Q195" s="27"/>
      <c r="R195" s="22"/>
      <c r="S195" s="22"/>
      <c r="T195" s="16"/>
      <c r="U195" s="16"/>
      <c r="V195" s="16"/>
      <c r="W195" s="16"/>
      <c r="X195" s="16"/>
      <c r="Y195" s="16"/>
      <c r="Z195" s="16"/>
      <c r="AA195" s="16"/>
      <c r="AB195" s="22"/>
    </row>
    <row r="196" spans="1:28" x14ac:dyDescent="0.3">
      <c r="A196" s="22"/>
      <c r="B196" s="22"/>
      <c r="C196" s="22"/>
      <c r="D196" s="22"/>
      <c r="E196" s="22"/>
      <c r="F196" s="22"/>
      <c r="G196" s="22"/>
      <c r="H196" s="22"/>
      <c r="I196" s="24" t="str">
        <f t="shared" si="4"/>
        <v/>
      </c>
      <c r="J196" s="25" t="str">
        <f t="shared" si="5"/>
        <v/>
      </c>
      <c r="K196" s="22"/>
      <c r="L196" s="22"/>
      <c r="M196" s="25" t="str">
        <f>IF(AND(L196&gt;=ref!$L$2,L196&lt;=ref!$M$2),ref!$K$2,IF(AND(L196&gt;=ref!$L$3,L196&lt;=ref!$M$3),ref!$K$3,IF(AND(L196&gt;=ref!$L$4,L196&lt;=ref!$M$4),ref!$K$4,IF(AND(L196&gt;=ref!$L$5,L196&lt;=ref!$M$5),ref!$K$5,IF(AND(L196&gt;=ref!$L$6,L196&lt;=ref!$M$6),ref!$K$6,IF(AND(L196&gt;=ref!$L$7,L196&lt;=ref!$M$7),ref!$K$7,IF(AND(L196&gt;=ref!$L$8,L196&lt;=ref!$M$8),ref!$K$8,IF(AND(L196&gt;=ref!$L$9,L196&lt;=ref!$M$9),ref!$K$9,IF(AND(L196&gt;=ref!$L$11,L196&lt;=ref!$M$11),ref!$K$11,IF(AND(L196&gt;=ref!$L$12,L196&lt;=ref!$M$12),ref!$K$12,""))))))))))</f>
        <v/>
      </c>
      <c r="N196" s="22"/>
      <c r="O196" s="16"/>
      <c r="P196" s="22"/>
      <c r="Q196" s="27"/>
      <c r="R196" s="22"/>
      <c r="S196" s="22"/>
      <c r="T196" s="16"/>
      <c r="U196" s="16"/>
      <c r="V196" s="16"/>
      <c r="W196" s="16"/>
      <c r="X196" s="16"/>
      <c r="Y196" s="16"/>
      <c r="Z196" s="16"/>
      <c r="AA196" s="16"/>
      <c r="AB196" s="22"/>
    </row>
    <row r="197" spans="1:28" x14ac:dyDescent="0.3">
      <c r="A197" s="22"/>
      <c r="B197" s="22"/>
      <c r="C197" s="22"/>
      <c r="D197" s="22"/>
      <c r="E197" s="22"/>
      <c r="F197" s="22"/>
      <c r="G197" s="22"/>
      <c r="H197" s="22"/>
      <c r="I197" s="24" t="str">
        <f t="shared" si="4"/>
        <v/>
      </c>
      <c r="J197" s="25" t="str">
        <f t="shared" si="5"/>
        <v/>
      </c>
      <c r="K197" s="22"/>
      <c r="L197" s="22"/>
      <c r="M197" s="25" t="str">
        <f>IF(AND(L197&gt;=ref!$L$2,L197&lt;=ref!$M$2),ref!$K$2,IF(AND(L197&gt;=ref!$L$3,L197&lt;=ref!$M$3),ref!$K$3,IF(AND(L197&gt;=ref!$L$4,L197&lt;=ref!$M$4),ref!$K$4,IF(AND(L197&gt;=ref!$L$5,L197&lt;=ref!$M$5),ref!$K$5,IF(AND(L197&gt;=ref!$L$6,L197&lt;=ref!$M$6),ref!$K$6,IF(AND(L197&gt;=ref!$L$7,L197&lt;=ref!$M$7),ref!$K$7,IF(AND(L197&gt;=ref!$L$8,L197&lt;=ref!$M$8),ref!$K$8,IF(AND(L197&gt;=ref!$L$9,L197&lt;=ref!$M$9),ref!$K$9,IF(AND(L197&gt;=ref!$L$11,L197&lt;=ref!$M$11),ref!$K$11,IF(AND(L197&gt;=ref!$L$12,L197&lt;=ref!$M$12),ref!$K$12,""))))))))))</f>
        <v/>
      </c>
      <c r="N197" s="22"/>
      <c r="O197" s="16"/>
      <c r="P197" s="22"/>
      <c r="Q197" s="27"/>
      <c r="R197" s="22"/>
      <c r="S197" s="22"/>
      <c r="T197" s="16"/>
      <c r="U197" s="16"/>
      <c r="V197" s="16"/>
      <c r="W197" s="16"/>
      <c r="X197" s="16"/>
      <c r="Y197" s="16"/>
      <c r="Z197" s="16"/>
      <c r="AA197" s="16"/>
      <c r="AB197" s="22"/>
    </row>
    <row r="198" spans="1:28" x14ac:dyDescent="0.3">
      <c r="A198" s="22"/>
      <c r="B198" s="22"/>
      <c r="C198" s="22"/>
      <c r="D198" s="22"/>
      <c r="E198" s="22"/>
      <c r="F198" s="22"/>
      <c r="G198" s="22"/>
      <c r="H198" s="22"/>
      <c r="I198" s="24" t="str">
        <f t="shared" si="4"/>
        <v/>
      </c>
      <c r="J198" s="25" t="str">
        <f t="shared" si="5"/>
        <v/>
      </c>
      <c r="K198" s="22"/>
      <c r="L198" s="22"/>
      <c r="M198" s="25" t="str">
        <f>IF(AND(L198&gt;=ref!$L$2,L198&lt;=ref!$M$2),ref!$K$2,IF(AND(L198&gt;=ref!$L$3,L198&lt;=ref!$M$3),ref!$K$3,IF(AND(L198&gt;=ref!$L$4,L198&lt;=ref!$M$4),ref!$K$4,IF(AND(L198&gt;=ref!$L$5,L198&lt;=ref!$M$5),ref!$K$5,IF(AND(L198&gt;=ref!$L$6,L198&lt;=ref!$M$6),ref!$K$6,IF(AND(L198&gt;=ref!$L$7,L198&lt;=ref!$M$7),ref!$K$7,IF(AND(L198&gt;=ref!$L$8,L198&lt;=ref!$M$8),ref!$K$8,IF(AND(L198&gt;=ref!$L$9,L198&lt;=ref!$M$9),ref!$K$9,IF(AND(L198&gt;=ref!$L$11,L198&lt;=ref!$M$11),ref!$K$11,IF(AND(L198&gt;=ref!$L$12,L198&lt;=ref!$M$12),ref!$K$12,""))))))))))</f>
        <v/>
      </c>
      <c r="N198" s="22"/>
      <c r="O198" s="16"/>
      <c r="P198" s="22"/>
      <c r="Q198" s="27"/>
      <c r="R198" s="22"/>
      <c r="S198" s="22"/>
      <c r="T198" s="16"/>
      <c r="U198" s="16"/>
      <c r="V198" s="16"/>
      <c r="W198" s="16"/>
      <c r="X198" s="16"/>
      <c r="Y198" s="16"/>
      <c r="Z198" s="16"/>
      <c r="AA198" s="16"/>
      <c r="AB198" s="22"/>
    </row>
    <row r="199" spans="1:28" x14ac:dyDescent="0.3">
      <c r="A199" s="22"/>
      <c r="B199" s="22"/>
      <c r="C199" s="22"/>
      <c r="D199" s="22"/>
      <c r="E199" s="22"/>
      <c r="F199" s="22"/>
      <c r="G199" s="22"/>
      <c r="H199" s="22"/>
      <c r="I199" s="24" t="str">
        <f t="shared" ref="I199:I262" si="6">IF(H199="","",IF(H199-D199&lt;=30,"Yes","No"))</f>
        <v/>
      </c>
      <c r="J199" s="25" t="str">
        <f t="shared" ref="J199:J262" si="7">IF(H199&lt;&gt;"",TEXT(H199,"ddd"),"")</f>
        <v/>
      </c>
      <c r="K199" s="22"/>
      <c r="L199" s="22"/>
      <c r="M199" s="25" t="str">
        <f>IF(AND(L199&gt;=ref!$L$2,L199&lt;=ref!$M$2),ref!$K$2,IF(AND(L199&gt;=ref!$L$3,L199&lt;=ref!$M$3),ref!$K$3,IF(AND(L199&gt;=ref!$L$4,L199&lt;=ref!$M$4),ref!$K$4,IF(AND(L199&gt;=ref!$L$5,L199&lt;=ref!$M$5),ref!$K$5,IF(AND(L199&gt;=ref!$L$6,L199&lt;=ref!$M$6),ref!$K$6,IF(AND(L199&gt;=ref!$L$7,L199&lt;=ref!$M$7),ref!$K$7,IF(AND(L199&gt;=ref!$L$8,L199&lt;=ref!$M$8),ref!$K$8,IF(AND(L199&gt;=ref!$L$9,L199&lt;=ref!$M$9),ref!$K$9,IF(AND(L199&gt;=ref!$L$11,L199&lt;=ref!$M$11),ref!$K$11,IF(AND(L199&gt;=ref!$L$12,L199&lt;=ref!$M$12),ref!$K$12,""))))))))))</f>
        <v/>
      </c>
      <c r="N199" s="22"/>
      <c r="O199" s="16"/>
      <c r="P199" s="22"/>
      <c r="Q199" s="27"/>
      <c r="R199" s="22"/>
      <c r="S199" s="22"/>
      <c r="T199" s="16"/>
      <c r="U199" s="16"/>
      <c r="V199" s="16"/>
      <c r="W199" s="16"/>
      <c r="X199" s="16"/>
      <c r="Y199" s="16"/>
      <c r="Z199" s="16"/>
      <c r="AA199" s="16"/>
      <c r="AB199" s="22"/>
    </row>
    <row r="200" spans="1:28" x14ac:dyDescent="0.3">
      <c r="A200" s="22"/>
      <c r="B200" s="22"/>
      <c r="C200" s="22"/>
      <c r="D200" s="22"/>
      <c r="E200" s="22"/>
      <c r="F200" s="22"/>
      <c r="G200" s="22"/>
      <c r="H200" s="22"/>
      <c r="I200" s="24" t="str">
        <f t="shared" si="6"/>
        <v/>
      </c>
      <c r="J200" s="25" t="str">
        <f t="shared" si="7"/>
        <v/>
      </c>
      <c r="K200" s="22"/>
      <c r="L200" s="22"/>
      <c r="M200" s="25" t="str">
        <f>IF(AND(L200&gt;=ref!$L$2,L200&lt;=ref!$M$2),ref!$K$2,IF(AND(L200&gt;=ref!$L$3,L200&lt;=ref!$M$3),ref!$K$3,IF(AND(L200&gt;=ref!$L$4,L200&lt;=ref!$M$4),ref!$K$4,IF(AND(L200&gt;=ref!$L$5,L200&lt;=ref!$M$5),ref!$K$5,IF(AND(L200&gt;=ref!$L$6,L200&lt;=ref!$M$6),ref!$K$6,IF(AND(L200&gt;=ref!$L$7,L200&lt;=ref!$M$7),ref!$K$7,IF(AND(L200&gt;=ref!$L$8,L200&lt;=ref!$M$8),ref!$K$8,IF(AND(L200&gt;=ref!$L$9,L200&lt;=ref!$M$9),ref!$K$9,IF(AND(L200&gt;=ref!$L$11,L200&lt;=ref!$M$11),ref!$K$11,IF(AND(L200&gt;=ref!$L$12,L200&lt;=ref!$M$12),ref!$K$12,""))))))))))</f>
        <v/>
      </c>
      <c r="N200" s="22"/>
      <c r="O200" s="16"/>
      <c r="P200" s="22"/>
      <c r="Q200" s="27"/>
      <c r="R200" s="22"/>
      <c r="S200" s="22"/>
      <c r="T200" s="16"/>
      <c r="U200" s="16"/>
      <c r="V200" s="16"/>
      <c r="W200" s="16"/>
      <c r="X200" s="16"/>
      <c r="Y200" s="16"/>
      <c r="Z200" s="16"/>
      <c r="AA200" s="16"/>
      <c r="AB200" s="22"/>
    </row>
    <row r="201" spans="1:28" x14ac:dyDescent="0.3">
      <c r="A201" s="22"/>
      <c r="B201" s="22"/>
      <c r="C201" s="22"/>
      <c r="D201" s="22"/>
      <c r="E201" s="22"/>
      <c r="F201" s="22"/>
      <c r="G201" s="22"/>
      <c r="H201" s="22"/>
      <c r="I201" s="24" t="str">
        <f t="shared" si="6"/>
        <v/>
      </c>
      <c r="J201" s="25" t="str">
        <f t="shared" si="7"/>
        <v/>
      </c>
      <c r="K201" s="22"/>
      <c r="L201" s="22"/>
      <c r="M201" s="25" t="str">
        <f>IF(AND(L201&gt;=ref!$L$2,L201&lt;=ref!$M$2),ref!$K$2,IF(AND(L201&gt;=ref!$L$3,L201&lt;=ref!$M$3),ref!$K$3,IF(AND(L201&gt;=ref!$L$4,L201&lt;=ref!$M$4),ref!$K$4,IF(AND(L201&gt;=ref!$L$5,L201&lt;=ref!$M$5),ref!$K$5,IF(AND(L201&gt;=ref!$L$6,L201&lt;=ref!$M$6),ref!$K$6,IF(AND(L201&gt;=ref!$L$7,L201&lt;=ref!$M$7),ref!$K$7,IF(AND(L201&gt;=ref!$L$8,L201&lt;=ref!$M$8),ref!$K$8,IF(AND(L201&gt;=ref!$L$9,L201&lt;=ref!$M$9),ref!$K$9,IF(AND(L201&gt;=ref!$L$11,L201&lt;=ref!$M$11),ref!$K$11,IF(AND(L201&gt;=ref!$L$12,L201&lt;=ref!$M$12),ref!$K$12,""))))))))))</f>
        <v/>
      </c>
      <c r="N201" s="22"/>
      <c r="O201" s="16"/>
      <c r="P201" s="22"/>
      <c r="Q201" s="27"/>
      <c r="R201" s="22"/>
      <c r="S201" s="22"/>
      <c r="T201" s="16"/>
      <c r="U201" s="16"/>
      <c r="V201" s="16"/>
      <c r="W201" s="16"/>
      <c r="X201" s="16"/>
      <c r="Y201" s="16"/>
      <c r="Z201" s="16"/>
      <c r="AA201" s="16"/>
      <c r="AB201" s="22"/>
    </row>
    <row r="202" spans="1:28" x14ac:dyDescent="0.3">
      <c r="A202" s="22"/>
      <c r="B202" s="22"/>
      <c r="C202" s="22"/>
      <c r="D202" s="22"/>
      <c r="E202" s="22"/>
      <c r="F202" s="22"/>
      <c r="G202" s="22"/>
      <c r="H202" s="22"/>
      <c r="I202" s="24" t="str">
        <f t="shared" si="6"/>
        <v/>
      </c>
      <c r="J202" s="25" t="str">
        <f t="shared" si="7"/>
        <v/>
      </c>
      <c r="K202" s="22"/>
      <c r="L202" s="22"/>
      <c r="M202" s="25" t="str">
        <f>IF(AND(L202&gt;=ref!$L$2,L202&lt;=ref!$M$2),ref!$K$2,IF(AND(L202&gt;=ref!$L$3,L202&lt;=ref!$M$3),ref!$K$3,IF(AND(L202&gt;=ref!$L$4,L202&lt;=ref!$M$4),ref!$K$4,IF(AND(L202&gt;=ref!$L$5,L202&lt;=ref!$M$5),ref!$K$5,IF(AND(L202&gt;=ref!$L$6,L202&lt;=ref!$M$6),ref!$K$6,IF(AND(L202&gt;=ref!$L$7,L202&lt;=ref!$M$7),ref!$K$7,IF(AND(L202&gt;=ref!$L$8,L202&lt;=ref!$M$8),ref!$K$8,IF(AND(L202&gt;=ref!$L$9,L202&lt;=ref!$M$9),ref!$K$9,IF(AND(L202&gt;=ref!$L$11,L202&lt;=ref!$M$11),ref!$K$11,IF(AND(L202&gt;=ref!$L$12,L202&lt;=ref!$M$12),ref!$K$12,""))))))))))</f>
        <v/>
      </c>
      <c r="N202" s="22"/>
      <c r="O202" s="16"/>
      <c r="P202" s="22"/>
      <c r="Q202" s="27"/>
      <c r="R202" s="22"/>
      <c r="S202" s="22"/>
      <c r="T202" s="16"/>
      <c r="U202" s="16"/>
      <c r="V202" s="16"/>
      <c r="W202" s="16"/>
      <c r="X202" s="16"/>
      <c r="Y202" s="16"/>
      <c r="Z202" s="16"/>
      <c r="AA202" s="16"/>
      <c r="AB202" s="22"/>
    </row>
    <row r="203" spans="1:28" x14ac:dyDescent="0.3">
      <c r="A203" s="22"/>
      <c r="B203" s="22"/>
      <c r="C203" s="22"/>
      <c r="D203" s="22"/>
      <c r="E203" s="22"/>
      <c r="F203" s="22"/>
      <c r="G203" s="22"/>
      <c r="H203" s="22"/>
      <c r="I203" s="24" t="str">
        <f t="shared" si="6"/>
        <v/>
      </c>
      <c r="J203" s="25" t="str">
        <f t="shared" si="7"/>
        <v/>
      </c>
      <c r="K203" s="22"/>
      <c r="L203" s="22"/>
      <c r="M203" s="25" t="str">
        <f>IF(AND(L203&gt;=ref!$L$2,L203&lt;=ref!$M$2),ref!$K$2,IF(AND(L203&gt;=ref!$L$3,L203&lt;=ref!$M$3),ref!$K$3,IF(AND(L203&gt;=ref!$L$4,L203&lt;=ref!$M$4),ref!$K$4,IF(AND(L203&gt;=ref!$L$5,L203&lt;=ref!$M$5),ref!$K$5,IF(AND(L203&gt;=ref!$L$6,L203&lt;=ref!$M$6),ref!$K$6,IF(AND(L203&gt;=ref!$L$7,L203&lt;=ref!$M$7),ref!$K$7,IF(AND(L203&gt;=ref!$L$8,L203&lt;=ref!$M$8),ref!$K$8,IF(AND(L203&gt;=ref!$L$9,L203&lt;=ref!$M$9),ref!$K$9,IF(AND(L203&gt;=ref!$L$11,L203&lt;=ref!$M$11),ref!$K$11,IF(AND(L203&gt;=ref!$L$12,L203&lt;=ref!$M$12),ref!$K$12,""))))))))))</f>
        <v/>
      </c>
      <c r="N203" s="22"/>
      <c r="O203" s="16"/>
      <c r="P203" s="22"/>
      <c r="Q203" s="27"/>
      <c r="R203" s="22"/>
      <c r="S203" s="22"/>
      <c r="T203" s="16"/>
      <c r="U203" s="16"/>
      <c r="V203" s="16"/>
      <c r="W203" s="16"/>
      <c r="X203" s="16"/>
      <c r="Y203" s="16"/>
      <c r="Z203" s="16"/>
      <c r="AA203" s="16"/>
      <c r="AB203" s="22"/>
    </row>
    <row r="204" spans="1:28" x14ac:dyDescent="0.3">
      <c r="A204" s="22"/>
      <c r="B204" s="22"/>
      <c r="C204" s="22"/>
      <c r="D204" s="22"/>
      <c r="E204" s="22"/>
      <c r="F204" s="22"/>
      <c r="G204" s="22"/>
      <c r="H204" s="22"/>
      <c r="I204" s="24" t="str">
        <f t="shared" si="6"/>
        <v/>
      </c>
      <c r="J204" s="25" t="str">
        <f t="shared" si="7"/>
        <v/>
      </c>
      <c r="K204" s="22"/>
      <c r="L204" s="22"/>
      <c r="M204" s="25" t="str">
        <f>IF(AND(L204&gt;=ref!$L$2,L204&lt;=ref!$M$2),ref!$K$2,IF(AND(L204&gt;=ref!$L$3,L204&lt;=ref!$M$3),ref!$K$3,IF(AND(L204&gt;=ref!$L$4,L204&lt;=ref!$M$4),ref!$K$4,IF(AND(L204&gt;=ref!$L$5,L204&lt;=ref!$M$5),ref!$K$5,IF(AND(L204&gt;=ref!$L$6,L204&lt;=ref!$M$6),ref!$K$6,IF(AND(L204&gt;=ref!$L$7,L204&lt;=ref!$M$7),ref!$K$7,IF(AND(L204&gt;=ref!$L$8,L204&lt;=ref!$M$8),ref!$K$8,IF(AND(L204&gt;=ref!$L$9,L204&lt;=ref!$M$9),ref!$K$9,IF(AND(L204&gt;=ref!$L$11,L204&lt;=ref!$M$11),ref!$K$11,IF(AND(L204&gt;=ref!$L$12,L204&lt;=ref!$M$12),ref!$K$12,""))))))))))</f>
        <v/>
      </c>
      <c r="N204" s="22"/>
      <c r="O204" s="16"/>
      <c r="P204" s="22"/>
      <c r="Q204" s="27"/>
      <c r="R204" s="22"/>
      <c r="S204" s="22"/>
      <c r="T204" s="16"/>
      <c r="U204" s="16"/>
      <c r="V204" s="16"/>
      <c r="W204" s="16"/>
      <c r="X204" s="16"/>
      <c r="Y204" s="16"/>
      <c r="Z204" s="16"/>
      <c r="AA204" s="16"/>
      <c r="AB204" s="22"/>
    </row>
    <row r="205" spans="1:28" x14ac:dyDescent="0.3">
      <c r="A205" s="22"/>
      <c r="B205" s="22"/>
      <c r="C205" s="22"/>
      <c r="D205" s="22"/>
      <c r="E205" s="22"/>
      <c r="F205" s="22"/>
      <c r="G205" s="22"/>
      <c r="H205" s="22"/>
      <c r="I205" s="24" t="str">
        <f t="shared" si="6"/>
        <v/>
      </c>
      <c r="J205" s="25" t="str">
        <f t="shared" si="7"/>
        <v/>
      </c>
      <c r="K205" s="22"/>
      <c r="L205" s="22"/>
      <c r="M205" s="25" t="str">
        <f>IF(AND(L205&gt;=ref!$L$2,L205&lt;=ref!$M$2),ref!$K$2,IF(AND(L205&gt;=ref!$L$3,L205&lt;=ref!$M$3),ref!$K$3,IF(AND(L205&gt;=ref!$L$4,L205&lt;=ref!$M$4),ref!$K$4,IF(AND(L205&gt;=ref!$L$5,L205&lt;=ref!$M$5),ref!$K$5,IF(AND(L205&gt;=ref!$L$6,L205&lt;=ref!$M$6),ref!$K$6,IF(AND(L205&gt;=ref!$L$7,L205&lt;=ref!$M$7),ref!$K$7,IF(AND(L205&gt;=ref!$L$8,L205&lt;=ref!$M$8),ref!$K$8,IF(AND(L205&gt;=ref!$L$9,L205&lt;=ref!$M$9),ref!$K$9,IF(AND(L205&gt;=ref!$L$11,L205&lt;=ref!$M$11),ref!$K$11,IF(AND(L205&gt;=ref!$L$12,L205&lt;=ref!$M$12),ref!$K$12,""))))))))))</f>
        <v/>
      </c>
      <c r="N205" s="22"/>
      <c r="O205" s="16"/>
      <c r="P205" s="22"/>
      <c r="Q205" s="27"/>
      <c r="R205" s="22"/>
      <c r="S205" s="22"/>
      <c r="T205" s="16"/>
      <c r="U205" s="16"/>
      <c r="V205" s="16"/>
      <c r="W205" s="16"/>
      <c r="X205" s="16"/>
      <c r="Y205" s="16"/>
      <c r="Z205" s="16"/>
      <c r="AA205" s="16"/>
      <c r="AB205" s="22"/>
    </row>
    <row r="206" spans="1:28" x14ac:dyDescent="0.3">
      <c r="A206" s="22"/>
      <c r="B206" s="22"/>
      <c r="C206" s="22"/>
      <c r="D206" s="22"/>
      <c r="E206" s="22"/>
      <c r="F206" s="22"/>
      <c r="G206" s="22"/>
      <c r="H206" s="22"/>
      <c r="I206" s="24" t="str">
        <f t="shared" si="6"/>
        <v/>
      </c>
      <c r="J206" s="25" t="str">
        <f t="shared" si="7"/>
        <v/>
      </c>
      <c r="K206" s="22"/>
      <c r="L206" s="22"/>
      <c r="M206" s="25" t="str">
        <f>IF(AND(L206&gt;=ref!$L$2,L206&lt;=ref!$M$2),ref!$K$2,IF(AND(L206&gt;=ref!$L$3,L206&lt;=ref!$M$3),ref!$K$3,IF(AND(L206&gt;=ref!$L$4,L206&lt;=ref!$M$4),ref!$K$4,IF(AND(L206&gt;=ref!$L$5,L206&lt;=ref!$M$5),ref!$K$5,IF(AND(L206&gt;=ref!$L$6,L206&lt;=ref!$M$6),ref!$K$6,IF(AND(L206&gt;=ref!$L$7,L206&lt;=ref!$M$7),ref!$K$7,IF(AND(L206&gt;=ref!$L$8,L206&lt;=ref!$M$8),ref!$K$8,IF(AND(L206&gt;=ref!$L$9,L206&lt;=ref!$M$9),ref!$K$9,IF(AND(L206&gt;=ref!$L$11,L206&lt;=ref!$M$11),ref!$K$11,IF(AND(L206&gt;=ref!$L$12,L206&lt;=ref!$M$12),ref!$K$12,""))))))))))</f>
        <v/>
      </c>
      <c r="N206" s="22"/>
      <c r="O206" s="16"/>
      <c r="P206" s="22"/>
      <c r="Q206" s="27"/>
      <c r="R206" s="22"/>
      <c r="S206" s="22"/>
      <c r="T206" s="16"/>
      <c r="U206" s="16"/>
      <c r="V206" s="16"/>
      <c r="W206" s="16"/>
      <c r="X206" s="16"/>
      <c r="Y206" s="16"/>
      <c r="Z206" s="16"/>
      <c r="AA206" s="16"/>
      <c r="AB206" s="22"/>
    </row>
    <row r="207" spans="1:28" x14ac:dyDescent="0.3">
      <c r="A207" s="22"/>
      <c r="B207" s="22"/>
      <c r="C207" s="22"/>
      <c r="D207" s="22"/>
      <c r="E207" s="22"/>
      <c r="F207" s="22"/>
      <c r="G207" s="22"/>
      <c r="H207" s="22"/>
      <c r="I207" s="24" t="str">
        <f t="shared" si="6"/>
        <v/>
      </c>
      <c r="J207" s="25" t="str">
        <f t="shared" si="7"/>
        <v/>
      </c>
      <c r="K207" s="22"/>
      <c r="L207" s="22"/>
      <c r="M207" s="25" t="str">
        <f>IF(AND(L207&gt;=ref!$L$2,L207&lt;=ref!$M$2),ref!$K$2,IF(AND(L207&gt;=ref!$L$3,L207&lt;=ref!$M$3),ref!$K$3,IF(AND(L207&gt;=ref!$L$4,L207&lt;=ref!$M$4),ref!$K$4,IF(AND(L207&gt;=ref!$L$5,L207&lt;=ref!$M$5),ref!$K$5,IF(AND(L207&gt;=ref!$L$6,L207&lt;=ref!$M$6),ref!$K$6,IF(AND(L207&gt;=ref!$L$7,L207&lt;=ref!$M$7),ref!$K$7,IF(AND(L207&gt;=ref!$L$8,L207&lt;=ref!$M$8),ref!$K$8,IF(AND(L207&gt;=ref!$L$9,L207&lt;=ref!$M$9),ref!$K$9,IF(AND(L207&gt;=ref!$L$11,L207&lt;=ref!$M$11),ref!$K$11,IF(AND(L207&gt;=ref!$L$12,L207&lt;=ref!$M$12),ref!$K$12,""))))))))))</f>
        <v/>
      </c>
      <c r="N207" s="22"/>
      <c r="O207" s="16"/>
      <c r="P207" s="22"/>
      <c r="Q207" s="27"/>
      <c r="R207" s="22"/>
      <c r="S207" s="22"/>
      <c r="T207" s="16"/>
      <c r="U207" s="16"/>
      <c r="V207" s="16"/>
      <c r="W207" s="16"/>
      <c r="X207" s="16"/>
      <c r="Y207" s="16"/>
      <c r="Z207" s="16"/>
      <c r="AA207" s="16"/>
      <c r="AB207" s="22"/>
    </row>
    <row r="208" spans="1:28" x14ac:dyDescent="0.3">
      <c r="A208" s="22"/>
      <c r="B208" s="22"/>
      <c r="C208" s="22"/>
      <c r="D208" s="22"/>
      <c r="E208" s="22"/>
      <c r="F208" s="22"/>
      <c r="G208" s="22"/>
      <c r="H208" s="22"/>
      <c r="I208" s="24" t="str">
        <f t="shared" si="6"/>
        <v/>
      </c>
      <c r="J208" s="25" t="str">
        <f t="shared" si="7"/>
        <v/>
      </c>
      <c r="K208" s="22"/>
      <c r="L208" s="22"/>
      <c r="M208" s="25" t="str">
        <f>IF(AND(L208&gt;=ref!$L$2,L208&lt;=ref!$M$2),ref!$K$2,IF(AND(L208&gt;=ref!$L$3,L208&lt;=ref!$M$3),ref!$K$3,IF(AND(L208&gt;=ref!$L$4,L208&lt;=ref!$M$4),ref!$K$4,IF(AND(L208&gt;=ref!$L$5,L208&lt;=ref!$M$5),ref!$K$5,IF(AND(L208&gt;=ref!$L$6,L208&lt;=ref!$M$6),ref!$K$6,IF(AND(L208&gt;=ref!$L$7,L208&lt;=ref!$M$7),ref!$K$7,IF(AND(L208&gt;=ref!$L$8,L208&lt;=ref!$M$8),ref!$K$8,IF(AND(L208&gt;=ref!$L$9,L208&lt;=ref!$M$9),ref!$K$9,IF(AND(L208&gt;=ref!$L$11,L208&lt;=ref!$M$11),ref!$K$11,IF(AND(L208&gt;=ref!$L$12,L208&lt;=ref!$M$12),ref!$K$12,""))))))))))</f>
        <v/>
      </c>
      <c r="N208" s="22"/>
      <c r="O208" s="16"/>
      <c r="P208" s="22"/>
      <c r="Q208" s="27"/>
      <c r="R208" s="22"/>
      <c r="S208" s="22"/>
      <c r="T208" s="16"/>
      <c r="U208" s="16"/>
      <c r="V208" s="16"/>
      <c r="W208" s="16"/>
      <c r="X208" s="16"/>
      <c r="Y208" s="16"/>
      <c r="Z208" s="16"/>
      <c r="AA208" s="16"/>
      <c r="AB208" s="22"/>
    </row>
    <row r="209" spans="1:28" x14ac:dyDescent="0.3">
      <c r="A209" s="22"/>
      <c r="B209" s="22"/>
      <c r="C209" s="22"/>
      <c r="D209" s="22"/>
      <c r="E209" s="22"/>
      <c r="F209" s="22"/>
      <c r="G209" s="22"/>
      <c r="H209" s="22"/>
      <c r="I209" s="24" t="str">
        <f t="shared" si="6"/>
        <v/>
      </c>
      <c r="J209" s="25" t="str">
        <f t="shared" si="7"/>
        <v/>
      </c>
      <c r="K209" s="22"/>
      <c r="L209" s="22"/>
      <c r="M209" s="25" t="str">
        <f>IF(AND(L209&gt;=ref!$L$2,L209&lt;=ref!$M$2),ref!$K$2,IF(AND(L209&gt;=ref!$L$3,L209&lt;=ref!$M$3),ref!$K$3,IF(AND(L209&gt;=ref!$L$4,L209&lt;=ref!$M$4),ref!$K$4,IF(AND(L209&gt;=ref!$L$5,L209&lt;=ref!$M$5),ref!$K$5,IF(AND(L209&gt;=ref!$L$6,L209&lt;=ref!$M$6),ref!$K$6,IF(AND(L209&gt;=ref!$L$7,L209&lt;=ref!$M$7),ref!$K$7,IF(AND(L209&gt;=ref!$L$8,L209&lt;=ref!$M$8),ref!$K$8,IF(AND(L209&gt;=ref!$L$9,L209&lt;=ref!$M$9),ref!$K$9,IF(AND(L209&gt;=ref!$L$11,L209&lt;=ref!$M$11),ref!$K$11,IF(AND(L209&gt;=ref!$L$12,L209&lt;=ref!$M$12),ref!$K$12,""))))))))))</f>
        <v/>
      </c>
      <c r="N209" s="22"/>
      <c r="O209" s="16"/>
      <c r="P209" s="22"/>
      <c r="Q209" s="27"/>
      <c r="R209" s="22"/>
      <c r="S209" s="22"/>
      <c r="T209" s="16"/>
      <c r="U209" s="16"/>
      <c r="V209" s="16"/>
      <c r="W209" s="16"/>
      <c r="X209" s="16"/>
      <c r="Y209" s="16"/>
      <c r="Z209" s="16"/>
      <c r="AA209" s="16"/>
      <c r="AB209" s="22"/>
    </row>
    <row r="210" spans="1:28" x14ac:dyDescent="0.3">
      <c r="A210" s="22"/>
      <c r="B210" s="22"/>
      <c r="C210" s="22"/>
      <c r="D210" s="22"/>
      <c r="E210" s="22"/>
      <c r="F210" s="22"/>
      <c r="G210" s="22"/>
      <c r="H210" s="22"/>
      <c r="I210" s="24" t="str">
        <f t="shared" si="6"/>
        <v/>
      </c>
      <c r="J210" s="25" t="str">
        <f t="shared" si="7"/>
        <v/>
      </c>
      <c r="K210" s="22"/>
      <c r="L210" s="22"/>
      <c r="M210" s="25" t="str">
        <f>IF(AND(L210&gt;=ref!$L$2,L210&lt;=ref!$M$2),ref!$K$2,IF(AND(L210&gt;=ref!$L$3,L210&lt;=ref!$M$3),ref!$K$3,IF(AND(L210&gt;=ref!$L$4,L210&lt;=ref!$M$4),ref!$K$4,IF(AND(L210&gt;=ref!$L$5,L210&lt;=ref!$M$5),ref!$K$5,IF(AND(L210&gt;=ref!$L$6,L210&lt;=ref!$M$6),ref!$K$6,IF(AND(L210&gt;=ref!$L$7,L210&lt;=ref!$M$7),ref!$K$7,IF(AND(L210&gt;=ref!$L$8,L210&lt;=ref!$M$8),ref!$K$8,IF(AND(L210&gt;=ref!$L$9,L210&lt;=ref!$M$9),ref!$K$9,IF(AND(L210&gt;=ref!$L$11,L210&lt;=ref!$M$11),ref!$K$11,IF(AND(L210&gt;=ref!$L$12,L210&lt;=ref!$M$12),ref!$K$12,""))))))))))</f>
        <v/>
      </c>
      <c r="N210" s="22"/>
      <c r="O210" s="16"/>
      <c r="P210" s="22"/>
      <c r="Q210" s="27"/>
      <c r="R210" s="22"/>
      <c r="S210" s="22"/>
      <c r="T210" s="16"/>
      <c r="U210" s="16"/>
      <c r="V210" s="16"/>
      <c r="W210" s="16"/>
      <c r="X210" s="16"/>
      <c r="Y210" s="16"/>
      <c r="Z210" s="16"/>
      <c r="AA210" s="16"/>
      <c r="AB210" s="22"/>
    </row>
    <row r="211" spans="1:28" x14ac:dyDescent="0.3">
      <c r="A211" s="22"/>
      <c r="B211" s="22"/>
      <c r="C211" s="22"/>
      <c r="D211" s="22"/>
      <c r="E211" s="22"/>
      <c r="F211" s="22"/>
      <c r="G211" s="22"/>
      <c r="H211" s="22"/>
      <c r="I211" s="24" t="str">
        <f t="shared" si="6"/>
        <v/>
      </c>
      <c r="J211" s="25" t="str">
        <f t="shared" si="7"/>
        <v/>
      </c>
      <c r="K211" s="22"/>
      <c r="L211" s="22"/>
      <c r="M211" s="25" t="str">
        <f>IF(AND(L211&gt;=ref!$L$2,L211&lt;=ref!$M$2),ref!$K$2,IF(AND(L211&gt;=ref!$L$3,L211&lt;=ref!$M$3),ref!$K$3,IF(AND(L211&gt;=ref!$L$4,L211&lt;=ref!$M$4),ref!$K$4,IF(AND(L211&gt;=ref!$L$5,L211&lt;=ref!$M$5),ref!$K$5,IF(AND(L211&gt;=ref!$L$6,L211&lt;=ref!$M$6),ref!$K$6,IF(AND(L211&gt;=ref!$L$7,L211&lt;=ref!$M$7),ref!$K$7,IF(AND(L211&gt;=ref!$L$8,L211&lt;=ref!$M$8),ref!$K$8,IF(AND(L211&gt;=ref!$L$9,L211&lt;=ref!$M$9),ref!$K$9,IF(AND(L211&gt;=ref!$L$11,L211&lt;=ref!$M$11),ref!$K$11,IF(AND(L211&gt;=ref!$L$12,L211&lt;=ref!$M$12),ref!$K$12,""))))))))))</f>
        <v/>
      </c>
      <c r="N211" s="22"/>
      <c r="O211" s="16"/>
      <c r="P211" s="22"/>
      <c r="Q211" s="27"/>
      <c r="R211" s="22"/>
      <c r="S211" s="22"/>
      <c r="T211" s="16"/>
      <c r="U211" s="16"/>
      <c r="V211" s="16"/>
      <c r="W211" s="16"/>
      <c r="X211" s="16"/>
      <c r="Y211" s="16"/>
      <c r="Z211" s="16"/>
      <c r="AA211" s="16"/>
      <c r="AB211" s="22"/>
    </row>
    <row r="212" spans="1:28" x14ac:dyDescent="0.3">
      <c r="A212" s="22"/>
      <c r="B212" s="22"/>
      <c r="C212" s="22"/>
      <c r="D212" s="22"/>
      <c r="E212" s="22"/>
      <c r="F212" s="22"/>
      <c r="G212" s="22"/>
      <c r="H212" s="22"/>
      <c r="I212" s="24" t="str">
        <f t="shared" si="6"/>
        <v/>
      </c>
      <c r="J212" s="25" t="str">
        <f t="shared" si="7"/>
        <v/>
      </c>
      <c r="K212" s="22"/>
      <c r="L212" s="22"/>
      <c r="M212" s="25" t="str">
        <f>IF(AND(L212&gt;=ref!$L$2,L212&lt;=ref!$M$2),ref!$K$2,IF(AND(L212&gt;=ref!$L$3,L212&lt;=ref!$M$3),ref!$K$3,IF(AND(L212&gt;=ref!$L$4,L212&lt;=ref!$M$4),ref!$K$4,IF(AND(L212&gt;=ref!$L$5,L212&lt;=ref!$M$5),ref!$K$5,IF(AND(L212&gt;=ref!$L$6,L212&lt;=ref!$M$6),ref!$K$6,IF(AND(L212&gt;=ref!$L$7,L212&lt;=ref!$M$7),ref!$K$7,IF(AND(L212&gt;=ref!$L$8,L212&lt;=ref!$M$8),ref!$K$8,IF(AND(L212&gt;=ref!$L$9,L212&lt;=ref!$M$9),ref!$K$9,IF(AND(L212&gt;=ref!$L$11,L212&lt;=ref!$M$11),ref!$K$11,IF(AND(L212&gt;=ref!$L$12,L212&lt;=ref!$M$12),ref!$K$12,""))))))))))</f>
        <v/>
      </c>
      <c r="N212" s="22"/>
      <c r="O212" s="16"/>
      <c r="P212" s="22"/>
      <c r="Q212" s="27"/>
      <c r="R212" s="22"/>
      <c r="S212" s="22"/>
      <c r="T212" s="16"/>
      <c r="U212" s="16"/>
      <c r="V212" s="16"/>
      <c r="W212" s="16"/>
      <c r="X212" s="16"/>
      <c r="Y212" s="16"/>
      <c r="Z212" s="16"/>
      <c r="AA212" s="16"/>
      <c r="AB212" s="22"/>
    </row>
    <row r="213" spans="1:28" x14ac:dyDescent="0.3">
      <c r="A213" s="22"/>
      <c r="B213" s="22"/>
      <c r="C213" s="22"/>
      <c r="D213" s="22"/>
      <c r="E213" s="22"/>
      <c r="F213" s="22"/>
      <c r="G213" s="22"/>
      <c r="H213" s="22"/>
      <c r="I213" s="24" t="str">
        <f t="shared" si="6"/>
        <v/>
      </c>
      <c r="J213" s="25" t="str">
        <f t="shared" si="7"/>
        <v/>
      </c>
      <c r="K213" s="22"/>
      <c r="L213" s="22"/>
      <c r="M213" s="25" t="str">
        <f>IF(AND(L213&gt;=ref!$L$2,L213&lt;=ref!$M$2),ref!$K$2,IF(AND(L213&gt;=ref!$L$3,L213&lt;=ref!$M$3),ref!$K$3,IF(AND(L213&gt;=ref!$L$4,L213&lt;=ref!$M$4),ref!$K$4,IF(AND(L213&gt;=ref!$L$5,L213&lt;=ref!$M$5),ref!$K$5,IF(AND(L213&gt;=ref!$L$6,L213&lt;=ref!$M$6),ref!$K$6,IF(AND(L213&gt;=ref!$L$7,L213&lt;=ref!$M$7),ref!$K$7,IF(AND(L213&gt;=ref!$L$8,L213&lt;=ref!$M$8),ref!$K$8,IF(AND(L213&gt;=ref!$L$9,L213&lt;=ref!$M$9),ref!$K$9,IF(AND(L213&gt;=ref!$L$11,L213&lt;=ref!$M$11),ref!$K$11,IF(AND(L213&gt;=ref!$L$12,L213&lt;=ref!$M$12),ref!$K$12,""))))))))))</f>
        <v/>
      </c>
      <c r="N213" s="22"/>
      <c r="O213" s="16"/>
      <c r="P213" s="22"/>
      <c r="Q213" s="27"/>
      <c r="R213" s="22"/>
      <c r="S213" s="22"/>
      <c r="T213" s="16"/>
      <c r="U213" s="16"/>
      <c r="V213" s="16"/>
      <c r="W213" s="16"/>
      <c r="X213" s="16"/>
      <c r="Y213" s="16"/>
      <c r="Z213" s="16"/>
      <c r="AA213" s="16"/>
      <c r="AB213" s="22"/>
    </row>
    <row r="214" spans="1:28" x14ac:dyDescent="0.3">
      <c r="A214" s="22"/>
      <c r="B214" s="22"/>
      <c r="C214" s="22"/>
      <c r="D214" s="22"/>
      <c r="E214" s="22"/>
      <c r="F214" s="22"/>
      <c r="G214" s="22"/>
      <c r="H214" s="22"/>
      <c r="I214" s="24" t="str">
        <f t="shared" si="6"/>
        <v/>
      </c>
      <c r="J214" s="25" t="str">
        <f t="shared" si="7"/>
        <v/>
      </c>
      <c r="K214" s="22"/>
      <c r="L214" s="22"/>
      <c r="M214" s="25" t="str">
        <f>IF(AND(L214&gt;=ref!$L$2,L214&lt;=ref!$M$2),ref!$K$2,IF(AND(L214&gt;=ref!$L$3,L214&lt;=ref!$M$3),ref!$K$3,IF(AND(L214&gt;=ref!$L$4,L214&lt;=ref!$M$4),ref!$K$4,IF(AND(L214&gt;=ref!$L$5,L214&lt;=ref!$M$5),ref!$K$5,IF(AND(L214&gt;=ref!$L$6,L214&lt;=ref!$M$6),ref!$K$6,IF(AND(L214&gt;=ref!$L$7,L214&lt;=ref!$M$7),ref!$K$7,IF(AND(L214&gt;=ref!$L$8,L214&lt;=ref!$M$8),ref!$K$8,IF(AND(L214&gt;=ref!$L$9,L214&lt;=ref!$M$9),ref!$K$9,IF(AND(L214&gt;=ref!$L$11,L214&lt;=ref!$M$11),ref!$K$11,IF(AND(L214&gt;=ref!$L$12,L214&lt;=ref!$M$12),ref!$K$12,""))))))))))</f>
        <v/>
      </c>
      <c r="N214" s="22"/>
      <c r="O214" s="16"/>
      <c r="P214" s="22"/>
      <c r="Q214" s="27"/>
      <c r="R214" s="22"/>
      <c r="S214" s="22"/>
      <c r="T214" s="16"/>
      <c r="U214" s="16"/>
      <c r="V214" s="16"/>
      <c r="W214" s="16"/>
      <c r="X214" s="16"/>
      <c r="Y214" s="16"/>
      <c r="Z214" s="16"/>
      <c r="AA214" s="16"/>
      <c r="AB214" s="22"/>
    </row>
    <row r="215" spans="1:28" x14ac:dyDescent="0.3">
      <c r="A215" s="22"/>
      <c r="B215" s="22"/>
      <c r="C215" s="22"/>
      <c r="D215" s="22"/>
      <c r="E215" s="22"/>
      <c r="F215" s="22"/>
      <c r="G215" s="22"/>
      <c r="H215" s="22"/>
      <c r="I215" s="24" t="str">
        <f t="shared" si="6"/>
        <v/>
      </c>
      <c r="J215" s="25" t="str">
        <f t="shared" si="7"/>
        <v/>
      </c>
      <c r="K215" s="22"/>
      <c r="L215" s="22"/>
      <c r="M215" s="25" t="str">
        <f>IF(AND(L215&gt;=ref!$L$2,L215&lt;=ref!$M$2),ref!$K$2,IF(AND(L215&gt;=ref!$L$3,L215&lt;=ref!$M$3),ref!$K$3,IF(AND(L215&gt;=ref!$L$4,L215&lt;=ref!$M$4),ref!$K$4,IF(AND(L215&gt;=ref!$L$5,L215&lt;=ref!$M$5),ref!$K$5,IF(AND(L215&gt;=ref!$L$6,L215&lt;=ref!$M$6),ref!$K$6,IF(AND(L215&gt;=ref!$L$7,L215&lt;=ref!$M$7),ref!$K$7,IF(AND(L215&gt;=ref!$L$8,L215&lt;=ref!$M$8),ref!$K$8,IF(AND(L215&gt;=ref!$L$9,L215&lt;=ref!$M$9),ref!$K$9,IF(AND(L215&gt;=ref!$L$11,L215&lt;=ref!$M$11),ref!$K$11,IF(AND(L215&gt;=ref!$L$12,L215&lt;=ref!$M$12),ref!$K$12,""))))))))))</f>
        <v/>
      </c>
      <c r="N215" s="22"/>
      <c r="O215" s="16"/>
      <c r="P215" s="22"/>
      <c r="Q215" s="27"/>
      <c r="R215" s="22"/>
      <c r="S215" s="22"/>
      <c r="T215" s="16"/>
      <c r="U215" s="16"/>
      <c r="V215" s="16"/>
      <c r="W215" s="16"/>
      <c r="X215" s="16"/>
      <c r="Y215" s="16"/>
      <c r="Z215" s="16"/>
      <c r="AA215" s="16"/>
      <c r="AB215" s="22"/>
    </row>
    <row r="216" spans="1:28" x14ac:dyDescent="0.3">
      <c r="A216" s="22"/>
      <c r="B216" s="22"/>
      <c r="C216" s="22"/>
      <c r="D216" s="22"/>
      <c r="E216" s="22"/>
      <c r="F216" s="22"/>
      <c r="G216" s="22"/>
      <c r="H216" s="22"/>
      <c r="I216" s="24" t="str">
        <f t="shared" si="6"/>
        <v/>
      </c>
      <c r="J216" s="25" t="str">
        <f t="shared" si="7"/>
        <v/>
      </c>
      <c r="K216" s="22"/>
      <c r="L216" s="22"/>
      <c r="M216" s="25" t="str">
        <f>IF(AND(L216&gt;=ref!$L$2,L216&lt;=ref!$M$2),ref!$K$2,IF(AND(L216&gt;=ref!$L$3,L216&lt;=ref!$M$3),ref!$K$3,IF(AND(L216&gt;=ref!$L$4,L216&lt;=ref!$M$4),ref!$K$4,IF(AND(L216&gt;=ref!$L$5,L216&lt;=ref!$M$5),ref!$K$5,IF(AND(L216&gt;=ref!$L$6,L216&lt;=ref!$M$6),ref!$K$6,IF(AND(L216&gt;=ref!$L$7,L216&lt;=ref!$M$7),ref!$K$7,IF(AND(L216&gt;=ref!$L$8,L216&lt;=ref!$M$8),ref!$K$8,IF(AND(L216&gt;=ref!$L$9,L216&lt;=ref!$M$9),ref!$K$9,IF(AND(L216&gt;=ref!$L$11,L216&lt;=ref!$M$11),ref!$K$11,IF(AND(L216&gt;=ref!$L$12,L216&lt;=ref!$M$12),ref!$K$12,""))))))))))</f>
        <v/>
      </c>
      <c r="N216" s="22"/>
      <c r="O216" s="16"/>
      <c r="P216" s="22"/>
      <c r="Q216" s="27"/>
      <c r="R216" s="22"/>
      <c r="S216" s="22"/>
      <c r="T216" s="16"/>
      <c r="U216" s="16"/>
      <c r="V216" s="16"/>
      <c r="W216" s="16"/>
      <c r="X216" s="16"/>
      <c r="Y216" s="16"/>
      <c r="Z216" s="16"/>
      <c r="AA216" s="16"/>
      <c r="AB216" s="22"/>
    </row>
    <row r="217" spans="1:28" x14ac:dyDescent="0.3">
      <c r="A217" s="22"/>
      <c r="B217" s="22"/>
      <c r="C217" s="22"/>
      <c r="D217" s="22"/>
      <c r="E217" s="22"/>
      <c r="F217" s="22"/>
      <c r="G217" s="22"/>
      <c r="H217" s="22"/>
      <c r="I217" s="24" t="str">
        <f t="shared" si="6"/>
        <v/>
      </c>
      <c r="J217" s="25" t="str">
        <f t="shared" si="7"/>
        <v/>
      </c>
      <c r="K217" s="22"/>
      <c r="L217" s="22"/>
      <c r="M217" s="25" t="str">
        <f>IF(AND(L217&gt;=ref!$L$2,L217&lt;=ref!$M$2),ref!$K$2,IF(AND(L217&gt;=ref!$L$3,L217&lt;=ref!$M$3),ref!$K$3,IF(AND(L217&gt;=ref!$L$4,L217&lt;=ref!$M$4),ref!$K$4,IF(AND(L217&gt;=ref!$L$5,L217&lt;=ref!$M$5),ref!$K$5,IF(AND(L217&gt;=ref!$L$6,L217&lt;=ref!$M$6),ref!$K$6,IF(AND(L217&gt;=ref!$L$7,L217&lt;=ref!$M$7),ref!$K$7,IF(AND(L217&gt;=ref!$L$8,L217&lt;=ref!$M$8),ref!$K$8,IF(AND(L217&gt;=ref!$L$9,L217&lt;=ref!$M$9),ref!$K$9,IF(AND(L217&gt;=ref!$L$11,L217&lt;=ref!$M$11),ref!$K$11,IF(AND(L217&gt;=ref!$L$12,L217&lt;=ref!$M$12),ref!$K$12,""))))))))))</f>
        <v/>
      </c>
      <c r="N217" s="22"/>
      <c r="O217" s="16"/>
      <c r="P217" s="22"/>
      <c r="Q217" s="27"/>
      <c r="R217" s="22"/>
      <c r="S217" s="22"/>
      <c r="T217" s="16"/>
      <c r="U217" s="16"/>
      <c r="V217" s="16"/>
      <c r="W217" s="16"/>
      <c r="X217" s="16"/>
      <c r="Y217" s="16"/>
      <c r="Z217" s="16"/>
      <c r="AA217" s="16"/>
      <c r="AB217" s="22"/>
    </row>
    <row r="218" spans="1:28" x14ac:dyDescent="0.3">
      <c r="A218" s="22"/>
      <c r="B218" s="22"/>
      <c r="C218" s="22"/>
      <c r="D218" s="22"/>
      <c r="E218" s="22"/>
      <c r="F218" s="22"/>
      <c r="G218" s="22"/>
      <c r="H218" s="22"/>
      <c r="I218" s="24" t="str">
        <f t="shared" si="6"/>
        <v/>
      </c>
      <c r="J218" s="25" t="str">
        <f t="shared" si="7"/>
        <v/>
      </c>
      <c r="K218" s="22"/>
      <c r="L218" s="22"/>
      <c r="M218" s="25" t="str">
        <f>IF(AND(L218&gt;=ref!$L$2,L218&lt;=ref!$M$2),ref!$K$2,IF(AND(L218&gt;=ref!$L$3,L218&lt;=ref!$M$3),ref!$K$3,IF(AND(L218&gt;=ref!$L$4,L218&lt;=ref!$M$4),ref!$K$4,IF(AND(L218&gt;=ref!$L$5,L218&lt;=ref!$M$5),ref!$K$5,IF(AND(L218&gt;=ref!$L$6,L218&lt;=ref!$M$6),ref!$K$6,IF(AND(L218&gt;=ref!$L$7,L218&lt;=ref!$M$7),ref!$K$7,IF(AND(L218&gt;=ref!$L$8,L218&lt;=ref!$M$8),ref!$K$8,IF(AND(L218&gt;=ref!$L$9,L218&lt;=ref!$M$9),ref!$K$9,IF(AND(L218&gt;=ref!$L$11,L218&lt;=ref!$M$11),ref!$K$11,IF(AND(L218&gt;=ref!$L$12,L218&lt;=ref!$M$12),ref!$K$12,""))))))))))</f>
        <v/>
      </c>
      <c r="N218" s="22"/>
      <c r="O218" s="16"/>
      <c r="P218" s="22"/>
      <c r="Q218" s="27"/>
      <c r="R218" s="22"/>
      <c r="S218" s="22"/>
      <c r="T218" s="16"/>
      <c r="U218" s="16"/>
      <c r="V218" s="16"/>
      <c r="W218" s="16"/>
      <c r="X218" s="16"/>
      <c r="Y218" s="16"/>
      <c r="Z218" s="16"/>
      <c r="AA218" s="16"/>
      <c r="AB218" s="22"/>
    </row>
    <row r="219" spans="1:28" x14ac:dyDescent="0.3">
      <c r="A219" s="22"/>
      <c r="B219" s="22"/>
      <c r="C219" s="22"/>
      <c r="D219" s="22"/>
      <c r="E219" s="22"/>
      <c r="F219" s="22"/>
      <c r="G219" s="22"/>
      <c r="H219" s="22"/>
      <c r="I219" s="24" t="str">
        <f t="shared" si="6"/>
        <v/>
      </c>
      <c r="J219" s="25" t="str">
        <f t="shared" si="7"/>
        <v/>
      </c>
      <c r="K219" s="22"/>
      <c r="L219" s="22"/>
      <c r="M219" s="25" t="str">
        <f>IF(AND(L219&gt;=ref!$L$2,L219&lt;=ref!$M$2),ref!$K$2,IF(AND(L219&gt;=ref!$L$3,L219&lt;=ref!$M$3),ref!$K$3,IF(AND(L219&gt;=ref!$L$4,L219&lt;=ref!$M$4),ref!$K$4,IF(AND(L219&gt;=ref!$L$5,L219&lt;=ref!$M$5),ref!$K$5,IF(AND(L219&gt;=ref!$L$6,L219&lt;=ref!$M$6),ref!$K$6,IF(AND(L219&gt;=ref!$L$7,L219&lt;=ref!$M$7),ref!$K$7,IF(AND(L219&gt;=ref!$L$8,L219&lt;=ref!$M$8),ref!$K$8,IF(AND(L219&gt;=ref!$L$9,L219&lt;=ref!$M$9),ref!$K$9,IF(AND(L219&gt;=ref!$L$11,L219&lt;=ref!$M$11),ref!$K$11,IF(AND(L219&gt;=ref!$L$12,L219&lt;=ref!$M$12),ref!$K$12,""))))))))))</f>
        <v/>
      </c>
      <c r="N219" s="22"/>
      <c r="O219" s="16"/>
      <c r="P219" s="22"/>
      <c r="Q219" s="27"/>
      <c r="R219" s="22"/>
      <c r="S219" s="22"/>
      <c r="T219" s="16"/>
      <c r="U219" s="16"/>
      <c r="V219" s="16"/>
      <c r="W219" s="16"/>
      <c r="X219" s="16"/>
      <c r="Y219" s="16"/>
      <c r="Z219" s="16"/>
      <c r="AA219" s="16"/>
      <c r="AB219" s="22"/>
    </row>
    <row r="220" spans="1:28" x14ac:dyDescent="0.3">
      <c r="A220" s="22"/>
      <c r="B220" s="22"/>
      <c r="C220" s="22"/>
      <c r="D220" s="22"/>
      <c r="E220" s="22"/>
      <c r="F220" s="22"/>
      <c r="G220" s="22"/>
      <c r="H220" s="22"/>
      <c r="I220" s="24" t="str">
        <f t="shared" si="6"/>
        <v/>
      </c>
      <c r="J220" s="25" t="str">
        <f t="shared" si="7"/>
        <v/>
      </c>
      <c r="K220" s="22"/>
      <c r="L220" s="22"/>
      <c r="M220" s="25" t="str">
        <f>IF(AND(L220&gt;=ref!$L$2,L220&lt;=ref!$M$2),ref!$K$2,IF(AND(L220&gt;=ref!$L$3,L220&lt;=ref!$M$3),ref!$K$3,IF(AND(L220&gt;=ref!$L$4,L220&lt;=ref!$M$4),ref!$K$4,IF(AND(L220&gt;=ref!$L$5,L220&lt;=ref!$M$5),ref!$K$5,IF(AND(L220&gt;=ref!$L$6,L220&lt;=ref!$M$6),ref!$K$6,IF(AND(L220&gt;=ref!$L$7,L220&lt;=ref!$M$7),ref!$K$7,IF(AND(L220&gt;=ref!$L$8,L220&lt;=ref!$M$8),ref!$K$8,IF(AND(L220&gt;=ref!$L$9,L220&lt;=ref!$M$9),ref!$K$9,IF(AND(L220&gt;=ref!$L$11,L220&lt;=ref!$M$11),ref!$K$11,IF(AND(L220&gt;=ref!$L$12,L220&lt;=ref!$M$12),ref!$K$12,""))))))))))</f>
        <v/>
      </c>
      <c r="N220" s="22"/>
      <c r="O220" s="16"/>
      <c r="P220" s="22"/>
      <c r="Q220" s="27"/>
      <c r="R220" s="22"/>
      <c r="S220" s="22"/>
      <c r="T220" s="16"/>
      <c r="U220" s="16"/>
      <c r="V220" s="16"/>
      <c r="W220" s="16"/>
      <c r="X220" s="16"/>
      <c r="Y220" s="16"/>
      <c r="Z220" s="16"/>
      <c r="AA220" s="16"/>
      <c r="AB220" s="22"/>
    </row>
    <row r="221" spans="1:28" x14ac:dyDescent="0.3">
      <c r="A221" s="22"/>
      <c r="B221" s="22"/>
      <c r="C221" s="22"/>
      <c r="D221" s="22"/>
      <c r="E221" s="22"/>
      <c r="F221" s="22"/>
      <c r="G221" s="22"/>
      <c r="H221" s="22"/>
      <c r="I221" s="24" t="str">
        <f t="shared" si="6"/>
        <v/>
      </c>
      <c r="J221" s="25" t="str">
        <f t="shared" si="7"/>
        <v/>
      </c>
      <c r="K221" s="22"/>
      <c r="L221" s="22"/>
      <c r="M221" s="25" t="str">
        <f>IF(AND(L221&gt;=ref!$L$2,L221&lt;=ref!$M$2),ref!$K$2,IF(AND(L221&gt;=ref!$L$3,L221&lt;=ref!$M$3),ref!$K$3,IF(AND(L221&gt;=ref!$L$4,L221&lt;=ref!$M$4),ref!$K$4,IF(AND(L221&gt;=ref!$L$5,L221&lt;=ref!$M$5),ref!$K$5,IF(AND(L221&gt;=ref!$L$6,L221&lt;=ref!$M$6),ref!$K$6,IF(AND(L221&gt;=ref!$L$7,L221&lt;=ref!$M$7),ref!$K$7,IF(AND(L221&gt;=ref!$L$8,L221&lt;=ref!$M$8),ref!$K$8,IF(AND(L221&gt;=ref!$L$9,L221&lt;=ref!$M$9),ref!$K$9,IF(AND(L221&gt;=ref!$L$11,L221&lt;=ref!$M$11),ref!$K$11,IF(AND(L221&gt;=ref!$L$12,L221&lt;=ref!$M$12),ref!$K$12,""))))))))))</f>
        <v/>
      </c>
      <c r="N221" s="22"/>
      <c r="O221" s="16"/>
      <c r="P221" s="22"/>
      <c r="Q221" s="27"/>
      <c r="R221" s="22"/>
      <c r="S221" s="22"/>
      <c r="T221" s="16"/>
      <c r="U221" s="16"/>
      <c r="V221" s="16"/>
      <c r="W221" s="16"/>
      <c r="X221" s="16"/>
      <c r="Y221" s="16"/>
      <c r="Z221" s="16"/>
      <c r="AA221" s="16"/>
      <c r="AB221" s="22"/>
    </row>
    <row r="222" spans="1:28" x14ac:dyDescent="0.3">
      <c r="A222" s="22"/>
      <c r="B222" s="22"/>
      <c r="C222" s="22"/>
      <c r="D222" s="22"/>
      <c r="E222" s="22"/>
      <c r="F222" s="22"/>
      <c r="G222" s="22"/>
      <c r="H222" s="22"/>
      <c r="I222" s="24" t="str">
        <f t="shared" si="6"/>
        <v/>
      </c>
      <c r="J222" s="25" t="str">
        <f t="shared" si="7"/>
        <v/>
      </c>
      <c r="K222" s="22"/>
      <c r="L222" s="22"/>
      <c r="M222" s="25" t="str">
        <f>IF(AND(L222&gt;=ref!$L$2,L222&lt;=ref!$M$2),ref!$K$2,IF(AND(L222&gt;=ref!$L$3,L222&lt;=ref!$M$3),ref!$K$3,IF(AND(L222&gt;=ref!$L$4,L222&lt;=ref!$M$4),ref!$K$4,IF(AND(L222&gt;=ref!$L$5,L222&lt;=ref!$M$5),ref!$K$5,IF(AND(L222&gt;=ref!$L$6,L222&lt;=ref!$M$6),ref!$K$6,IF(AND(L222&gt;=ref!$L$7,L222&lt;=ref!$M$7),ref!$K$7,IF(AND(L222&gt;=ref!$L$8,L222&lt;=ref!$M$8),ref!$K$8,IF(AND(L222&gt;=ref!$L$9,L222&lt;=ref!$M$9),ref!$K$9,IF(AND(L222&gt;=ref!$L$11,L222&lt;=ref!$M$11),ref!$K$11,IF(AND(L222&gt;=ref!$L$12,L222&lt;=ref!$M$12),ref!$K$12,""))))))))))</f>
        <v/>
      </c>
      <c r="N222" s="22"/>
      <c r="O222" s="16"/>
      <c r="P222" s="22"/>
      <c r="Q222" s="27"/>
      <c r="R222" s="22"/>
      <c r="S222" s="22"/>
      <c r="T222" s="16"/>
      <c r="U222" s="16"/>
      <c r="V222" s="16"/>
      <c r="W222" s="16"/>
      <c r="X222" s="16"/>
      <c r="Y222" s="16"/>
      <c r="Z222" s="16"/>
      <c r="AA222" s="16"/>
      <c r="AB222" s="22"/>
    </row>
    <row r="223" spans="1:28" x14ac:dyDescent="0.3">
      <c r="A223" s="22"/>
      <c r="B223" s="22"/>
      <c r="C223" s="22"/>
      <c r="D223" s="22"/>
      <c r="E223" s="22"/>
      <c r="F223" s="22"/>
      <c r="G223" s="22"/>
      <c r="H223" s="22"/>
      <c r="I223" s="24" t="str">
        <f t="shared" si="6"/>
        <v/>
      </c>
      <c r="J223" s="25" t="str">
        <f t="shared" si="7"/>
        <v/>
      </c>
      <c r="K223" s="22"/>
      <c r="L223" s="22"/>
      <c r="M223" s="25" t="str">
        <f>IF(AND(L223&gt;=ref!$L$2,L223&lt;=ref!$M$2),ref!$K$2,IF(AND(L223&gt;=ref!$L$3,L223&lt;=ref!$M$3),ref!$K$3,IF(AND(L223&gt;=ref!$L$4,L223&lt;=ref!$M$4),ref!$K$4,IF(AND(L223&gt;=ref!$L$5,L223&lt;=ref!$M$5),ref!$K$5,IF(AND(L223&gt;=ref!$L$6,L223&lt;=ref!$M$6),ref!$K$6,IF(AND(L223&gt;=ref!$L$7,L223&lt;=ref!$M$7),ref!$K$7,IF(AND(L223&gt;=ref!$L$8,L223&lt;=ref!$M$8),ref!$K$8,IF(AND(L223&gt;=ref!$L$9,L223&lt;=ref!$M$9),ref!$K$9,IF(AND(L223&gt;=ref!$L$11,L223&lt;=ref!$M$11),ref!$K$11,IF(AND(L223&gt;=ref!$L$12,L223&lt;=ref!$M$12),ref!$K$12,""))))))))))</f>
        <v/>
      </c>
      <c r="N223" s="22"/>
      <c r="O223" s="16"/>
      <c r="P223" s="22"/>
      <c r="Q223" s="27"/>
      <c r="R223" s="22"/>
      <c r="S223" s="22"/>
      <c r="T223" s="16"/>
      <c r="U223" s="16"/>
      <c r="V223" s="16"/>
      <c r="W223" s="16"/>
      <c r="X223" s="16"/>
      <c r="Y223" s="16"/>
      <c r="Z223" s="16"/>
      <c r="AA223" s="16"/>
      <c r="AB223" s="22"/>
    </row>
    <row r="224" spans="1:28" x14ac:dyDescent="0.3">
      <c r="A224" s="22"/>
      <c r="B224" s="22"/>
      <c r="C224" s="22"/>
      <c r="D224" s="22"/>
      <c r="E224" s="22"/>
      <c r="F224" s="22"/>
      <c r="G224" s="22"/>
      <c r="H224" s="22"/>
      <c r="I224" s="24" t="str">
        <f t="shared" si="6"/>
        <v/>
      </c>
      <c r="J224" s="25" t="str">
        <f t="shared" si="7"/>
        <v/>
      </c>
      <c r="K224" s="22"/>
      <c r="L224" s="22"/>
      <c r="M224" s="25" t="str">
        <f>IF(AND(L224&gt;=ref!$L$2,L224&lt;=ref!$M$2),ref!$K$2,IF(AND(L224&gt;=ref!$L$3,L224&lt;=ref!$M$3),ref!$K$3,IF(AND(L224&gt;=ref!$L$4,L224&lt;=ref!$M$4),ref!$K$4,IF(AND(L224&gt;=ref!$L$5,L224&lt;=ref!$M$5),ref!$K$5,IF(AND(L224&gt;=ref!$L$6,L224&lt;=ref!$M$6),ref!$K$6,IF(AND(L224&gt;=ref!$L$7,L224&lt;=ref!$M$7),ref!$K$7,IF(AND(L224&gt;=ref!$L$8,L224&lt;=ref!$M$8),ref!$K$8,IF(AND(L224&gt;=ref!$L$9,L224&lt;=ref!$M$9),ref!$K$9,IF(AND(L224&gt;=ref!$L$11,L224&lt;=ref!$M$11),ref!$K$11,IF(AND(L224&gt;=ref!$L$12,L224&lt;=ref!$M$12),ref!$K$12,""))))))))))</f>
        <v/>
      </c>
      <c r="N224" s="22"/>
      <c r="O224" s="16"/>
      <c r="P224" s="22"/>
      <c r="Q224" s="27"/>
      <c r="R224" s="22"/>
      <c r="S224" s="22"/>
      <c r="T224" s="16"/>
      <c r="U224" s="16"/>
      <c r="V224" s="16"/>
      <c r="W224" s="16"/>
      <c r="X224" s="16"/>
      <c r="Y224" s="16"/>
      <c r="Z224" s="16"/>
      <c r="AA224" s="16"/>
      <c r="AB224" s="22"/>
    </row>
    <row r="225" spans="1:28" x14ac:dyDescent="0.3">
      <c r="A225" s="22"/>
      <c r="B225" s="22"/>
      <c r="C225" s="22"/>
      <c r="D225" s="22"/>
      <c r="E225" s="22"/>
      <c r="F225" s="22"/>
      <c r="G225" s="22"/>
      <c r="H225" s="22"/>
      <c r="I225" s="24" t="str">
        <f t="shared" si="6"/>
        <v/>
      </c>
      <c r="J225" s="25" t="str">
        <f t="shared" si="7"/>
        <v/>
      </c>
      <c r="K225" s="22"/>
      <c r="L225" s="22"/>
      <c r="M225" s="25" t="str">
        <f>IF(AND(L225&gt;=ref!$L$2,L225&lt;=ref!$M$2),ref!$K$2,IF(AND(L225&gt;=ref!$L$3,L225&lt;=ref!$M$3),ref!$K$3,IF(AND(L225&gt;=ref!$L$4,L225&lt;=ref!$M$4),ref!$K$4,IF(AND(L225&gt;=ref!$L$5,L225&lt;=ref!$M$5),ref!$K$5,IF(AND(L225&gt;=ref!$L$6,L225&lt;=ref!$M$6),ref!$K$6,IF(AND(L225&gt;=ref!$L$7,L225&lt;=ref!$M$7),ref!$K$7,IF(AND(L225&gt;=ref!$L$8,L225&lt;=ref!$M$8),ref!$K$8,IF(AND(L225&gt;=ref!$L$9,L225&lt;=ref!$M$9),ref!$K$9,IF(AND(L225&gt;=ref!$L$11,L225&lt;=ref!$M$11),ref!$K$11,IF(AND(L225&gt;=ref!$L$12,L225&lt;=ref!$M$12),ref!$K$12,""))))))))))</f>
        <v/>
      </c>
      <c r="N225" s="22"/>
      <c r="O225" s="16"/>
      <c r="P225" s="22"/>
      <c r="Q225" s="27"/>
      <c r="R225" s="22"/>
      <c r="S225" s="22"/>
      <c r="T225" s="16"/>
      <c r="U225" s="16"/>
      <c r="V225" s="16"/>
      <c r="W225" s="16"/>
      <c r="X225" s="16"/>
      <c r="Y225" s="16"/>
      <c r="Z225" s="16"/>
      <c r="AA225" s="16"/>
      <c r="AB225" s="22"/>
    </row>
    <row r="226" spans="1:28" x14ac:dyDescent="0.3">
      <c r="A226" s="22"/>
      <c r="B226" s="22"/>
      <c r="C226" s="22"/>
      <c r="D226" s="22"/>
      <c r="E226" s="22"/>
      <c r="F226" s="22"/>
      <c r="G226" s="22"/>
      <c r="H226" s="22"/>
      <c r="I226" s="24" t="str">
        <f t="shared" si="6"/>
        <v/>
      </c>
      <c r="J226" s="25" t="str">
        <f t="shared" si="7"/>
        <v/>
      </c>
      <c r="K226" s="22"/>
      <c r="L226" s="22"/>
      <c r="M226" s="25" t="str">
        <f>IF(AND(L226&gt;=ref!$L$2,L226&lt;=ref!$M$2),ref!$K$2,IF(AND(L226&gt;=ref!$L$3,L226&lt;=ref!$M$3),ref!$K$3,IF(AND(L226&gt;=ref!$L$4,L226&lt;=ref!$M$4),ref!$K$4,IF(AND(L226&gt;=ref!$L$5,L226&lt;=ref!$M$5),ref!$K$5,IF(AND(L226&gt;=ref!$L$6,L226&lt;=ref!$M$6),ref!$K$6,IF(AND(L226&gt;=ref!$L$7,L226&lt;=ref!$M$7),ref!$K$7,IF(AND(L226&gt;=ref!$L$8,L226&lt;=ref!$M$8),ref!$K$8,IF(AND(L226&gt;=ref!$L$9,L226&lt;=ref!$M$9),ref!$K$9,IF(AND(L226&gt;=ref!$L$11,L226&lt;=ref!$M$11),ref!$K$11,IF(AND(L226&gt;=ref!$L$12,L226&lt;=ref!$M$12),ref!$K$12,""))))))))))</f>
        <v/>
      </c>
      <c r="N226" s="22"/>
      <c r="O226" s="16"/>
      <c r="P226" s="22"/>
      <c r="Q226" s="27"/>
      <c r="R226" s="22"/>
      <c r="S226" s="22"/>
      <c r="T226" s="16"/>
      <c r="U226" s="16"/>
      <c r="V226" s="16"/>
      <c r="W226" s="16"/>
      <c r="X226" s="16"/>
      <c r="Y226" s="16"/>
      <c r="Z226" s="16"/>
      <c r="AA226" s="16"/>
      <c r="AB226" s="22"/>
    </row>
    <row r="227" spans="1:28" x14ac:dyDescent="0.3">
      <c r="A227" s="22"/>
      <c r="B227" s="22"/>
      <c r="C227" s="22"/>
      <c r="D227" s="22"/>
      <c r="E227" s="22"/>
      <c r="F227" s="22"/>
      <c r="G227" s="22"/>
      <c r="H227" s="22"/>
      <c r="I227" s="24" t="str">
        <f t="shared" si="6"/>
        <v/>
      </c>
      <c r="J227" s="25" t="str">
        <f t="shared" si="7"/>
        <v/>
      </c>
      <c r="K227" s="22"/>
      <c r="L227" s="22"/>
      <c r="M227" s="25" t="str">
        <f>IF(AND(L227&gt;=ref!$L$2,L227&lt;=ref!$M$2),ref!$K$2,IF(AND(L227&gt;=ref!$L$3,L227&lt;=ref!$M$3),ref!$K$3,IF(AND(L227&gt;=ref!$L$4,L227&lt;=ref!$M$4),ref!$K$4,IF(AND(L227&gt;=ref!$L$5,L227&lt;=ref!$M$5),ref!$K$5,IF(AND(L227&gt;=ref!$L$6,L227&lt;=ref!$M$6),ref!$K$6,IF(AND(L227&gt;=ref!$L$7,L227&lt;=ref!$M$7),ref!$K$7,IF(AND(L227&gt;=ref!$L$8,L227&lt;=ref!$M$8),ref!$K$8,IF(AND(L227&gt;=ref!$L$9,L227&lt;=ref!$M$9),ref!$K$9,IF(AND(L227&gt;=ref!$L$11,L227&lt;=ref!$M$11),ref!$K$11,IF(AND(L227&gt;=ref!$L$12,L227&lt;=ref!$M$12),ref!$K$12,""))))))))))</f>
        <v/>
      </c>
      <c r="N227" s="22"/>
      <c r="O227" s="16"/>
      <c r="P227" s="22"/>
      <c r="Q227" s="27"/>
      <c r="R227" s="22"/>
      <c r="S227" s="22"/>
      <c r="T227" s="16"/>
      <c r="U227" s="16"/>
      <c r="V227" s="16"/>
      <c r="W227" s="16"/>
      <c r="X227" s="16"/>
      <c r="Y227" s="16"/>
      <c r="Z227" s="16"/>
      <c r="AA227" s="16"/>
      <c r="AB227" s="22"/>
    </row>
    <row r="228" spans="1:28" x14ac:dyDescent="0.3">
      <c r="A228" s="22"/>
      <c r="B228" s="22"/>
      <c r="C228" s="22"/>
      <c r="D228" s="22"/>
      <c r="E228" s="22"/>
      <c r="F228" s="22"/>
      <c r="G228" s="22"/>
      <c r="H228" s="22"/>
      <c r="I228" s="24" t="str">
        <f t="shared" si="6"/>
        <v/>
      </c>
      <c r="J228" s="25" t="str">
        <f t="shared" si="7"/>
        <v/>
      </c>
      <c r="K228" s="22"/>
      <c r="L228" s="22"/>
      <c r="M228" s="25" t="str">
        <f>IF(AND(L228&gt;=ref!$L$2,L228&lt;=ref!$M$2),ref!$K$2,IF(AND(L228&gt;=ref!$L$3,L228&lt;=ref!$M$3),ref!$K$3,IF(AND(L228&gt;=ref!$L$4,L228&lt;=ref!$M$4),ref!$K$4,IF(AND(L228&gt;=ref!$L$5,L228&lt;=ref!$M$5),ref!$K$5,IF(AND(L228&gt;=ref!$L$6,L228&lt;=ref!$M$6),ref!$K$6,IF(AND(L228&gt;=ref!$L$7,L228&lt;=ref!$M$7),ref!$K$7,IF(AND(L228&gt;=ref!$L$8,L228&lt;=ref!$M$8),ref!$K$8,IF(AND(L228&gt;=ref!$L$9,L228&lt;=ref!$M$9),ref!$K$9,IF(AND(L228&gt;=ref!$L$11,L228&lt;=ref!$M$11),ref!$K$11,IF(AND(L228&gt;=ref!$L$12,L228&lt;=ref!$M$12),ref!$K$12,""))))))))))</f>
        <v/>
      </c>
      <c r="N228" s="22"/>
      <c r="O228" s="16"/>
      <c r="P228" s="22"/>
      <c r="Q228" s="27"/>
      <c r="R228" s="22"/>
      <c r="S228" s="22"/>
      <c r="T228" s="16"/>
      <c r="U228" s="16"/>
      <c r="V228" s="16"/>
      <c r="W228" s="16"/>
      <c r="X228" s="16"/>
      <c r="Y228" s="16"/>
      <c r="Z228" s="16"/>
      <c r="AA228" s="16"/>
      <c r="AB228" s="22"/>
    </row>
    <row r="229" spans="1:28" x14ac:dyDescent="0.3">
      <c r="A229" s="22"/>
      <c r="B229" s="22"/>
      <c r="C229" s="22"/>
      <c r="D229" s="22"/>
      <c r="E229" s="22"/>
      <c r="F229" s="22"/>
      <c r="G229" s="22"/>
      <c r="H229" s="22"/>
      <c r="I229" s="24" t="str">
        <f t="shared" si="6"/>
        <v/>
      </c>
      <c r="J229" s="25" t="str">
        <f t="shared" si="7"/>
        <v/>
      </c>
      <c r="K229" s="22"/>
      <c r="L229" s="22"/>
      <c r="M229" s="25" t="str">
        <f>IF(AND(L229&gt;=ref!$L$2,L229&lt;=ref!$M$2),ref!$K$2,IF(AND(L229&gt;=ref!$L$3,L229&lt;=ref!$M$3),ref!$K$3,IF(AND(L229&gt;=ref!$L$4,L229&lt;=ref!$M$4),ref!$K$4,IF(AND(L229&gt;=ref!$L$5,L229&lt;=ref!$M$5),ref!$K$5,IF(AND(L229&gt;=ref!$L$6,L229&lt;=ref!$M$6),ref!$K$6,IF(AND(L229&gt;=ref!$L$7,L229&lt;=ref!$M$7),ref!$K$7,IF(AND(L229&gt;=ref!$L$8,L229&lt;=ref!$M$8),ref!$K$8,IF(AND(L229&gt;=ref!$L$9,L229&lt;=ref!$M$9),ref!$K$9,IF(AND(L229&gt;=ref!$L$11,L229&lt;=ref!$M$11),ref!$K$11,IF(AND(L229&gt;=ref!$L$12,L229&lt;=ref!$M$12),ref!$K$12,""))))))))))</f>
        <v/>
      </c>
      <c r="N229" s="22"/>
      <c r="O229" s="16"/>
      <c r="P229" s="22"/>
      <c r="Q229" s="27"/>
      <c r="R229" s="22"/>
      <c r="S229" s="22"/>
      <c r="T229" s="16"/>
      <c r="U229" s="16"/>
      <c r="V229" s="16"/>
      <c r="W229" s="16"/>
      <c r="X229" s="16"/>
      <c r="Y229" s="16"/>
      <c r="Z229" s="16"/>
      <c r="AA229" s="16"/>
      <c r="AB229" s="22"/>
    </row>
    <row r="230" spans="1:28" x14ac:dyDescent="0.3">
      <c r="A230" s="22"/>
      <c r="B230" s="22"/>
      <c r="C230" s="22"/>
      <c r="D230" s="22"/>
      <c r="E230" s="22"/>
      <c r="F230" s="22"/>
      <c r="G230" s="22"/>
      <c r="H230" s="22"/>
      <c r="I230" s="24" t="str">
        <f t="shared" si="6"/>
        <v/>
      </c>
      <c r="J230" s="25" t="str">
        <f t="shared" si="7"/>
        <v/>
      </c>
      <c r="K230" s="22"/>
      <c r="L230" s="22"/>
      <c r="M230" s="25" t="str">
        <f>IF(AND(L230&gt;=ref!$L$2,L230&lt;=ref!$M$2),ref!$K$2,IF(AND(L230&gt;=ref!$L$3,L230&lt;=ref!$M$3),ref!$K$3,IF(AND(L230&gt;=ref!$L$4,L230&lt;=ref!$M$4),ref!$K$4,IF(AND(L230&gt;=ref!$L$5,L230&lt;=ref!$M$5),ref!$K$5,IF(AND(L230&gt;=ref!$L$6,L230&lt;=ref!$M$6),ref!$K$6,IF(AND(L230&gt;=ref!$L$7,L230&lt;=ref!$M$7),ref!$K$7,IF(AND(L230&gt;=ref!$L$8,L230&lt;=ref!$M$8),ref!$K$8,IF(AND(L230&gt;=ref!$L$9,L230&lt;=ref!$M$9),ref!$K$9,IF(AND(L230&gt;=ref!$L$11,L230&lt;=ref!$M$11),ref!$K$11,IF(AND(L230&gt;=ref!$L$12,L230&lt;=ref!$M$12),ref!$K$12,""))))))))))</f>
        <v/>
      </c>
      <c r="N230" s="22"/>
      <c r="O230" s="16"/>
      <c r="P230" s="22"/>
      <c r="Q230" s="27"/>
      <c r="R230" s="22"/>
      <c r="S230" s="22"/>
      <c r="T230" s="16"/>
      <c r="U230" s="16"/>
      <c r="V230" s="16"/>
      <c r="W230" s="16"/>
      <c r="X230" s="16"/>
      <c r="Y230" s="16"/>
      <c r="Z230" s="16"/>
      <c r="AA230" s="16"/>
      <c r="AB230" s="22"/>
    </row>
    <row r="231" spans="1:28" x14ac:dyDescent="0.3">
      <c r="A231" s="22"/>
      <c r="B231" s="22"/>
      <c r="C231" s="22"/>
      <c r="D231" s="22"/>
      <c r="E231" s="22"/>
      <c r="F231" s="22"/>
      <c r="G231" s="22"/>
      <c r="H231" s="22"/>
      <c r="I231" s="24" t="str">
        <f t="shared" si="6"/>
        <v/>
      </c>
      <c r="J231" s="25" t="str">
        <f t="shared" si="7"/>
        <v/>
      </c>
      <c r="K231" s="22"/>
      <c r="L231" s="22"/>
      <c r="M231" s="25" t="str">
        <f>IF(AND(L231&gt;=ref!$L$2,L231&lt;=ref!$M$2),ref!$K$2,IF(AND(L231&gt;=ref!$L$3,L231&lt;=ref!$M$3),ref!$K$3,IF(AND(L231&gt;=ref!$L$4,L231&lt;=ref!$M$4),ref!$K$4,IF(AND(L231&gt;=ref!$L$5,L231&lt;=ref!$M$5),ref!$K$5,IF(AND(L231&gt;=ref!$L$6,L231&lt;=ref!$M$6),ref!$K$6,IF(AND(L231&gt;=ref!$L$7,L231&lt;=ref!$M$7),ref!$K$7,IF(AND(L231&gt;=ref!$L$8,L231&lt;=ref!$M$8),ref!$K$8,IF(AND(L231&gt;=ref!$L$9,L231&lt;=ref!$M$9),ref!$K$9,IF(AND(L231&gt;=ref!$L$11,L231&lt;=ref!$M$11),ref!$K$11,IF(AND(L231&gt;=ref!$L$12,L231&lt;=ref!$M$12),ref!$K$12,""))))))))))</f>
        <v/>
      </c>
      <c r="N231" s="22"/>
      <c r="O231" s="16"/>
      <c r="P231" s="22"/>
      <c r="Q231" s="27"/>
      <c r="R231" s="22"/>
      <c r="S231" s="22"/>
      <c r="T231" s="16"/>
      <c r="U231" s="16"/>
      <c r="V231" s="16"/>
      <c r="W231" s="16"/>
      <c r="X231" s="16"/>
      <c r="Y231" s="16"/>
      <c r="Z231" s="16"/>
      <c r="AA231" s="16"/>
      <c r="AB231" s="22"/>
    </row>
    <row r="232" spans="1:28" x14ac:dyDescent="0.3">
      <c r="A232" s="22"/>
      <c r="B232" s="22"/>
      <c r="C232" s="22"/>
      <c r="D232" s="22"/>
      <c r="E232" s="22"/>
      <c r="F232" s="22"/>
      <c r="G232" s="22"/>
      <c r="H232" s="22"/>
      <c r="I232" s="24" t="str">
        <f t="shared" si="6"/>
        <v/>
      </c>
      <c r="J232" s="25" t="str">
        <f t="shared" si="7"/>
        <v/>
      </c>
      <c r="K232" s="22"/>
      <c r="L232" s="22"/>
      <c r="M232" s="25" t="str">
        <f>IF(AND(L232&gt;=ref!$L$2,L232&lt;=ref!$M$2),ref!$K$2,IF(AND(L232&gt;=ref!$L$3,L232&lt;=ref!$M$3),ref!$K$3,IF(AND(L232&gt;=ref!$L$4,L232&lt;=ref!$M$4),ref!$K$4,IF(AND(L232&gt;=ref!$L$5,L232&lt;=ref!$M$5),ref!$K$5,IF(AND(L232&gt;=ref!$L$6,L232&lt;=ref!$M$6),ref!$K$6,IF(AND(L232&gt;=ref!$L$7,L232&lt;=ref!$M$7),ref!$K$7,IF(AND(L232&gt;=ref!$L$8,L232&lt;=ref!$M$8),ref!$K$8,IF(AND(L232&gt;=ref!$L$9,L232&lt;=ref!$M$9),ref!$K$9,IF(AND(L232&gt;=ref!$L$11,L232&lt;=ref!$M$11),ref!$K$11,IF(AND(L232&gt;=ref!$L$12,L232&lt;=ref!$M$12),ref!$K$12,""))))))))))</f>
        <v/>
      </c>
      <c r="N232" s="22"/>
      <c r="O232" s="16"/>
      <c r="P232" s="22"/>
      <c r="Q232" s="27"/>
      <c r="R232" s="22"/>
      <c r="S232" s="22"/>
      <c r="T232" s="16"/>
      <c r="U232" s="16"/>
      <c r="V232" s="16"/>
      <c r="W232" s="16"/>
      <c r="X232" s="16"/>
      <c r="Y232" s="16"/>
      <c r="Z232" s="16"/>
      <c r="AA232" s="16"/>
      <c r="AB232" s="22"/>
    </row>
    <row r="233" spans="1:28" x14ac:dyDescent="0.3">
      <c r="A233" s="22"/>
      <c r="B233" s="22"/>
      <c r="C233" s="22"/>
      <c r="D233" s="22"/>
      <c r="E233" s="22"/>
      <c r="F233" s="22"/>
      <c r="G233" s="22"/>
      <c r="H233" s="22"/>
      <c r="I233" s="24" t="str">
        <f t="shared" si="6"/>
        <v/>
      </c>
      <c r="J233" s="25" t="str">
        <f t="shared" si="7"/>
        <v/>
      </c>
      <c r="K233" s="22"/>
      <c r="L233" s="22"/>
      <c r="M233" s="25" t="str">
        <f>IF(AND(L233&gt;=ref!$L$2,L233&lt;=ref!$M$2),ref!$K$2,IF(AND(L233&gt;=ref!$L$3,L233&lt;=ref!$M$3),ref!$K$3,IF(AND(L233&gt;=ref!$L$4,L233&lt;=ref!$M$4),ref!$K$4,IF(AND(L233&gt;=ref!$L$5,L233&lt;=ref!$M$5),ref!$K$5,IF(AND(L233&gt;=ref!$L$6,L233&lt;=ref!$M$6),ref!$K$6,IF(AND(L233&gt;=ref!$L$7,L233&lt;=ref!$M$7),ref!$K$7,IF(AND(L233&gt;=ref!$L$8,L233&lt;=ref!$M$8),ref!$K$8,IF(AND(L233&gt;=ref!$L$9,L233&lt;=ref!$M$9),ref!$K$9,IF(AND(L233&gt;=ref!$L$11,L233&lt;=ref!$M$11),ref!$K$11,IF(AND(L233&gt;=ref!$L$12,L233&lt;=ref!$M$12),ref!$K$12,""))))))))))</f>
        <v/>
      </c>
      <c r="N233" s="22"/>
      <c r="O233" s="16"/>
      <c r="P233" s="22"/>
      <c r="Q233" s="27"/>
      <c r="R233" s="22"/>
      <c r="S233" s="22"/>
      <c r="T233" s="16"/>
      <c r="U233" s="16"/>
      <c r="V233" s="16"/>
      <c r="W233" s="16"/>
      <c r="X233" s="16"/>
      <c r="Y233" s="16"/>
      <c r="Z233" s="16"/>
      <c r="AA233" s="16"/>
      <c r="AB233" s="22"/>
    </row>
    <row r="234" spans="1:28" x14ac:dyDescent="0.3">
      <c r="A234" s="22"/>
      <c r="B234" s="22"/>
      <c r="C234" s="22"/>
      <c r="D234" s="22"/>
      <c r="E234" s="22"/>
      <c r="F234" s="22"/>
      <c r="G234" s="22"/>
      <c r="H234" s="22"/>
      <c r="I234" s="24" t="str">
        <f t="shared" si="6"/>
        <v/>
      </c>
      <c r="J234" s="25" t="str">
        <f t="shared" si="7"/>
        <v/>
      </c>
      <c r="K234" s="22"/>
      <c r="L234" s="22"/>
      <c r="M234" s="25" t="str">
        <f>IF(AND(L234&gt;=ref!$L$2,L234&lt;=ref!$M$2),ref!$K$2,IF(AND(L234&gt;=ref!$L$3,L234&lt;=ref!$M$3),ref!$K$3,IF(AND(L234&gt;=ref!$L$4,L234&lt;=ref!$M$4),ref!$K$4,IF(AND(L234&gt;=ref!$L$5,L234&lt;=ref!$M$5),ref!$K$5,IF(AND(L234&gt;=ref!$L$6,L234&lt;=ref!$M$6),ref!$K$6,IF(AND(L234&gt;=ref!$L$7,L234&lt;=ref!$M$7),ref!$K$7,IF(AND(L234&gt;=ref!$L$8,L234&lt;=ref!$M$8),ref!$K$8,IF(AND(L234&gt;=ref!$L$9,L234&lt;=ref!$M$9),ref!$K$9,IF(AND(L234&gt;=ref!$L$11,L234&lt;=ref!$M$11),ref!$K$11,IF(AND(L234&gt;=ref!$L$12,L234&lt;=ref!$M$12),ref!$K$12,""))))))))))</f>
        <v/>
      </c>
      <c r="N234" s="22"/>
      <c r="O234" s="16"/>
      <c r="P234" s="22"/>
      <c r="Q234" s="27"/>
      <c r="R234" s="22"/>
      <c r="S234" s="22"/>
      <c r="T234" s="16"/>
      <c r="U234" s="16"/>
      <c r="V234" s="16"/>
      <c r="W234" s="16"/>
      <c r="X234" s="16"/>
      <c r="Y234" s="16"/>
      <c r="Z234" s="16"/>
      <c r="AA234" s="16"/>
      <c r="AB234" s="22"/>
    </row>
    <row r="235" spans="1:28" x14ac:dyDescent="0.3">
      <c r="A235" s="22"/>
      <c r="B235" s="22"/>
      <c r="C235" s="22"/>
      <c r="D235" s="22"/>
      <c r="E235" s="22"/>
      <c r="F235" s="22"/>
      <c r="G235" s="22"/>
      <c r="H235" s="22"/>
      <c r="I235" s="24" t="str">
        <f t="shared" si="6"/>
        <v/>
      </c>
      <c r="J235" s="25" t="str">
        <f t="shared" si="7"/>
        <v/>
      </c>
      <c r="K235" s="22"/>
      <c r="L235" s="22"/>
      <c r="M235" s="25" t="str">
        <f>IF(AND(L235&gt;=ref!$L$2,L235&lt;=ref!$M$2),ref!$K$2,IF(AND(L235&gt;=ref!$L$3,L235&lt;=ref!$M$3),ref!$K$3,IF(AND(L235&gt;=ref!$L$4,L235&lt;=ref!$M$4),ref!$K$4,IF(AND(L235&gt;=ref!$L$5,L235&lt;=ref!$M$5),ref!$K$5,IF(AND(L235&gt;=ref!$L$6,L235&lt;=ref!$M$6),ref!$K$6,IF(AND(L235&gt;=ref!$L$7,L235&lt;=ref!$M$7),ref!$K$7,IF(AND(L235&gt;=ref!$L$8,L235&lt;=ref!$M$8),ref!$K$8,IF(AND(L235&gt;=ref!$L$9,L235&lt;=ref!$M$9),ref!$K$9,IF(AND(L235&gt;=ref!$L$11,L235&lt;=ref!$M$11),ref!$K$11,IF(AND(L235&gt;=ref!$L$12,L235&lt;=ref!$M$12),ref!$K$12,""))))))))))</f>
        <v/>
      </c>
      <c r="N235" s="22"/>
      <c r="O235" s="16"/>
      <c r="P235" s="22"/>
      <c r="Q235" s="27"/>
      <c r="R235" s="22"/>
      <c r="S235" s="22"/>
      <c r="T235" s="16"/>
      <c r="U235" s="16"/>
      <c r="V235" s="16"/>
      <c r="W235" s="16"/>
      <c r="X235" s="16"/>
      <c r="Y235" s="16"/>
      <c r="Z235" s="16"/>
      <c r="AA235" s="16"/>
      <c r="AB235" s="22"/>
    </row>
    <row r="236" spans="1:28" x14ac:dyDescent="0.3">
      <c r="A236" s="22"/>
      <c r="B236" s="22"/>
      <c r="C236" s="22"/>
      <c r="D236" s="22"/>
      <c r="E236" s="22"/>
      <c r="F236" s="22"/>
      <c r="G236" s="22"/>
      <c r="H236" s="22"/>
      <c r="I236" s="24" t="str">
        <f t="shared" si="6"/>
        <v/>
      </c>
      <c r="J236" s="25" t="str">
        <f t="shared" si="7"/>
        <v/>
      </c>
      <c r="K236" s="22"/>
      <c r="L236" s="22"/>
      <c r="M236" s="25" t="str">
        <f>IF(AND(L236&gt;=ref!$L$2,L236&lt;=ref!$M$2),ref!$K$2,IF(AND(L236&gt;=ref!$L$3,L236&lt;=ref!$M$3),ref!$K$3,IF(AND(L236&gt;=ref!$L$4,L236&lt;=ref!$M$4),ref!$K$4,IF(AND(L236&gt;=ref!$L$5,L236&lt;=ref!$M$5),ref!$K$5,IF(AND(L236&gt;=ref!$L$6,L236&lt;=ref!$M$6),ref!$K$6,IF(AND(L236&gt;=ref!$L$7,L236&lt;=ref!$M$7),ref!$K$7,IF(AND(L236&gt;=ref!$L$8,L236&lt;=ref!$M$8),ref!$K$8,IF(AND(L236&gt;=ref!$L$9,L236&lt;=ref!$M$9),ref!$K$9,IF(AND(L236&gt;=ref!$L$11,L236&lt;=ref!$M$11),ref!$K$11,IF(AND(L236&gt;=ref!$L$12,L236&lt;=ref!$M$12),ref!$K$12,""))))))))))</f>
        <v/>
      </c>
      <c r="N236" s="22"/>
      <c r="O236" s="16"/>
      <c r="P236" s="22"/>
      <c r="Q236" s="27"/>
      <c r="R236" s="22"/>
      <c r="S236" s="22"/>
      <c r="T236" s="16"/>
      <c r="U236" s="16"/>
      <c r="V236" s="16"/>
      <c r="W236" s="16"/>
      <c r="X236" s="16"/>
      <c r="Y236" s="16"/>
      <c r="Z236" s="16"/>
      <c r="AA236" s="16"/>
      <c r="AB236" s="22"/>
    </row>
    <row r="237" spans="1:28" x14ac:dyDescent="0.3">
      <c r="A237" s="22"/>
      <c r="B237" s="22"/>
      <c r="C237" s="22"/>
      <c r="D237" s="22"/>
      <c r="E237" s="22"/>
      <c r="F237" s="22"/>
      <c r="G237" s="22"/>
      <c r="H237" s="22"/>
      <c r="I237" s="24" t="str">
        <f t="shared" si="6"/>
        <v/>
      </c>
      <c r="J237" s="25" t="str">
        <f t="shared" si="7"/>
        <v/>
      </c>
      <c r="K237" s="22"/>
      <c r="L237" s="22"/>
      <c r="M237" s="25" t="str">
        <f>IF(AND(L237&gt;=ref!$L$2,L237&lt;=ref!$M$2),ref!$K$2,IF(AND(L237&gt;=ref!$L$3,L237&lt;=ref!$M$3),ref!$K$3,IF(AND(L237&gt;=ref!$L$4,L237&lt;=ref!$M$4),ref!$K$4,IF(AND(L237&gt;=ref!$L$5,L237&lt;=ref!$M$5),ref!$K$5,IF(AND(L237&gt;=ref!$L$6,L237&lt;=ref!$M$6),ref!$K$6,IF(AND(L237&gt;=ref!$L$7,L237&lt;=ref!$M$7),ref!$K$7,IF(AND(L237&gt;=ref!$L$8,L237&lt;=ref!$M$8),ref!$K$8,IF(AND(L237&gt;=ref!$L$9,L237&lt;=ref!$M$9),ref!$K$9,IF(AND(L237&gt;=ref!$L$11,L237&lt;=ref!$M$11),ref!$K$11,IF(AND(L237&gt;=ref!$L$12,L237&lt;=ref!$M$12),ref!$K$12,""))))))))))</f>
        <v/>
      </c>
      <c r="N237" s="22"/>
      <c r="O237" s="16"/>
      <c r="P237" s="22"/>
      <c r="Q237" s="27"/>
      <c r="R237" s="22"/>
      <c r="S237" s="22"/>
      <c r="T237" s="16"/>
      <c r="U237" s="16"/>
      <c r="V237" s="16"/>
      <c r="W237" s="16"/>
      <c r="X237" s="16"/>
      <c r="Y237" s="16"/>
      <c r="Z237" s="16"/>
      <c r="AA237" s="16"/>
      <c r="AB237" s="22"/>
    </row>
    <row r="238" spans="1:28" x14ac:dyDescent="0.3">
      <c r="A238" s="22"/>
      <c r="B238" s="22"/>
      <c r="C238" s="22"/>
      <c r="D238" s="22"/>
      <c r="E238" s="22"/>
      <c r="F238" s="22"/>
      <c r="G238" s="22"/>
      <c r="H238" s="22"/>
      <c r="I238" s="24" t="str">
        <f t="shared" si="6"/>
        <v/>
      </c>
      <c r="J238" s="25" t="str">
        <f t="shared" si="7"/>
        <v/>
      </c>
      <c r="K238" s="22"/>
      <c r="L238" s="22"/>
      <c r="M238" s="25" t="str">
        <f>IF(AND(L238&gt;=ref!$L$2,L238&lt;=ref!$M$2),ref!$K$2,IF(AND(L238&gt;=ref!$L$3,L238&lt;=ref!$M$3),ref!$K$3,IF(AND(L238&gt;=ref!$L$4,L238&lt;=ref!$M$4),ref!$K$4,IF(AND(L238&gt;=ref!$L$5,L238&lt;=ref!$M$5),ref!$K$5,IF(AND(L238&gt;=ref!$L$6,L238&lt;=ref!$M$6),ref!$K$6,IF(AND(L238&gt;=ref!$L$7,L238&lt;=ref!$M$7),ref!$K$7,IF(AND(L238&gt;=ref!$L$8,L238&lt;=ref!$M$8),ref!$K$8,IF(AND(L238&gt;=ref!$L$9,L238&lt;=ref!$M$9),ref!$K$9,IF(AND(L238&gt;=ref!$L$11,L238&lt;=ref!$M$11),ref!$K$11,IF(AND(L238&gt;=ref!$L$12,L238&lt;=ref!$M$12),ref!$K$12,""))))))))))</f>
        <v/>
      </c>
      <c r="N238" s="22"/>
      <c r="O238" s="16"/>
      <c r="P238" s="22"/>
      <c r="Q238" s="27"/>
      <c r="R238" s="22"/>
      <c r="S238" s="22"/>
      <c r="T238" s="16"/>
      <c r="U238" s="16"/>
      <c r="V238" s="16"/>
      <c r="W238" s="16"/>
      <c r="X238" s="16"/>
      <c r="Y238" s="16"/>
      <c r="Z238" s="16"/>
      <c r="AA238" s="16"/>
      <c r="AB238" s="22"/>
    </row>
    <row r="239" spans="1:28" x14ac:dyDescent="0.3">
      <c r="A239" s="22"/>
      <c r="B239" s="22"/>
      <c r="C239" s="22"/>
      <c r="D239" s="22"/>
      <c r="E239" s="22"/>
      <c r="F239" s="22"/>
      <c r="G239" s="22"/>
      <c r="H239" s="22"/>
      <c r="I239" s="24" t="str">
        <f t="shared" si="6"/>
        <v/>
      </c>
      <c r="J239" s="25" t="str">
        <f t="shared" si="7"/>
        <v/>
      </c>
      <c r="K239" s="22"/>
      <c r="L239" s="22"/>
      <c r="M239" s="25" t="str">
        <f>IF(AND(L239&gt;=ref!$L$2,L239&lt;=ref!$M$2),ref!$K$2,IF(AND(L239&gt;=ref!$L$3,L239&lt;=ref!$M$3),ref!$K$3,IF(AND(L239&gt;=ref!$L$4,L239&lt;=ref!$M$4),ref!$K$4,IF(AND(L239&gt;=ref!$L$5,L239&lt;=ref!$M$5),ref!$K$5,IF(AND(L239&gt;=ref!$L$6,L239&lt;=ref!$M$6),ref!$K$6,IF(AND(L239&gt;=ref!$L$7,L239&lt;=ref!$M$7),ref!$K$7,IF(AND(L239&gt;=ref!$L$8,L239&lt;=ref!$M$8),ref!$K$8,IF(AND(L239&gt;=ref!$L$9,L239&lt;=ref!$M$9),ref!$K$9,IF(AND(L239&gt;=ref!$L$11,L239&lt;=ref!$M$11),ref!$K$11,IF(AND(L239&gt;=ref!$L$12,L239&lt;=ref!$M$12),ref!$K$12,""))))))))))</f>
        <v/>
      </c>
      <c r="N239" s="22"/>
      <c r="O239" s="16"/>
      <c r="P239" s="22"/>
      <c r="Q239" s="27"/>
      <c r="R239" s="22"/>
      <c r="S239" s="22"/>
      <c r="T239" s="16"/>
      <c r="U239" s="16"/>
      <c r="V239" s="16"/>
      <c r="W239" s="16"/>
      <c r="X239" s="16"/>
      <c r="Y239" s="16"/>
      <c r="Z239" s="16"/>
      <c r="AA239" s="16"/>
      <c r="AB239" s="22"/>
    </row>
    <row r="240" spans="1:28" x14ac:dyDescent="0.3">
      <c r="A240" s="22"/>
      <c r="B240" s="22"/>
      <c r="C240" s="22"/>
      <c r="D240" s="22"/>
      <c r="E240" s="22"/>
      <c r="F240" s="22"/>
      <c r="G240" s="22"/>
      <c r="H240" s="22"/>
      <c r="I240" s="24" t="str">
        <f t="shared" si="6"/>
        <v/>
      </c>
      <c r="J240" s="25" t="str">
        <f t="shared" si="7"/>
        <v/>
      </c>
      <c r="K240" s="22"/>
      <c r="L240" s="22"/>
      <c r="M240" s="25" t="str">
        <f>IF(AND(L240&gt;=ref!$L$2,L240&lt;=ref!$M$2),ref!$K$2,IF(AND(L240&gt;=ref!$L$3,L240&lt;=ref!$M$3),ref!$K$3,IF(AND(L240&gt;=ref!$L$4,L240&lt;=ref!$M$4),ref!$K$4,IF(AND(L240&gt;=ref!$L$5,L240&lt;=ref!$M$5),ref!$K$5,IF(AND(L240&gt;=ref!$L$6,L240&lt;=ref!$M$6),ref!$K$6,IF(AND(L240&gt;=ref!$L$7,L240&lt;=ref!$M$7),ref!$K$7,IF(AND(L240&gt;=ref!$L$8,L240&lt;=ref!$M$8),ref!$K$8,IF(AND(L240&gt;=ref!$L$9,L240&lt;=ref!$M$9),ref!$K$9,IF(AND(L240&gt;=ref!$L$11,L240&lt;=ref!$M$11),ref!$K$11,IF(AND(L240&gt;=ref!$L$12,L240&lt;=ref!$M$12),ref!$K$12,""))))))))))</f>
        <v/>
      </c>
      <c r="N240" s="22"/>
      <c r="O240" s="16"/>
      <c r="P240" s="22"/>
      <c r="Q240" s="27"/>
      <c r="R240" s="22"/>
      <c r="S240" s="22"/>
      <c r="T240" s="16"/>
      <c r="U240" s="16"/>
      <c r="V240" s="16"/>
      <c r="W240" s="16"/>
      <c r="X240" s="16"/>
      <c r="Y240" s="16"/>
      <c r="Z240" s="16"/>
      <c r="AA240" s="16"/>
      <c r="AB240" s="22"/>
    </row>
    <row r="241" spans="1:28" x14ac:dyDescent="0.3">
      <c r="A241" s="22"/>
      <c r="B241" s="22"/>
      <c r="C241" s="22"/>
      <c r="D241" s="22"/>
      <c r="E241" s="22"/>
      <c r="F241" s="22"/>
      <c r="G241" s="22"/>
      <c r="H241" s="22"/>
      <c r="I241" s="24" t="str">
        <f t="shared" si="6"/>
        <v/>
      </c>
      <c r="J241" s="25" t="str">
        <f t="shared" si="7"/>
        <v/>
      </c>
      <c r="K241" s="22"/>
      <c r="L241" s="22"/>
      <c r="M241" s="25" t="str">
        <f>IF(AND(L241&gt;=ref!$L$2,L241&lt;=ref!$M$2),ref!$K$2,IF(AND(L241&gt;=ref!$L$3,L241&lt;=ref!$M$3),ref!$K$3,IF(AND(L241&gt;=ref!$L$4,L241&lt;=ref!$M$4),ref!$K$4,IF(AND(L241&gt;=ref!$L$5,L241&lt;=ref!$M$5),ref!$K$5,IF(AND(L241&gt;=ref!$L$6,L241&lt;=ref!$M$6),ref!$K$6,IF(AND(L241&gt;=ref!$L$7,L241&lt;=ref!$M$7),ref!$K$7,IF(AND(L241&gt;=ref!$L$8,L241&lt;=ref!$M$8),ref!$K$8,IF(AND(L241&gt;=ref!$L$9,L241&lt;=ref!$M$9),ref!$K$9,IF(AND(L241&gt;=ref!$L$11,L241&lt;=ref!$M$11),ref!$K$11,IF(AND(L241&gt;=ref!$L$12,L241&lt;=ref!$M$12),ref!$K$12,""))))))))))</f>
        <v/>
      </c>
      <c r="N241" s="22"/>
      <c r="O241" s="16"/>
      <c r="P241" s="22"/>
      <c r="Q241" s="27"/>
      <c r="R241" s="22"/>
      <c r="S241" s="22"/>
      <c r="T241" s="16"/>
      <c r="U241" s="16"/>
      <c r="V241" s="16"/>
      <c r="W241" s="16"/>
      <c r="X241" s="16"/>
      <c r="Y241" s="16"/>
      <c r="Z241" s="16"/>
      <c r="AA241" s="16"/>
      <c r="AB241" s="22"/>
    </row>
    <row r="242" spans="1:28" x14ac:dyDescent="0.3">
      <c r="A242" s="22"/>
      <c r="B242" s="22"/>
      <c r="C242" s="22"/>
      <c r="D242" s="22"/>
      <c r="E242" s="22"/>
      <c r="F242" s="22"/>
      <c r="G242" s="22"/>
      <c r="H242" s="22"/>
      <c r="I242" s="24" t="str">
        <f t="shared" si="6"/>
        <v/>
      </c>
      <c r="J242" s="25" t="str">
        <f t="shared" si="7"/>
        <v/>
      </c>
      <c r="K242" s="22"/>
      <c r="L242" s="22"/>
      <c r="M242" s="25" t="str">
        <f>IF(AND(L242&gt;=ref!$L$2,L242&lt;=ref!$M$2),ref!$K$2,IF(AND(L242&gt;=ref!$L$3,L242&lt;=ref!$M$3),ref!$K$3,IF(AND(L242&gt;=ref!$L$4,L242&lt;=ref!$M$4),ref!$K$4,IF(AND(L242&gt;=ref!$L$5,L242&lt;=ref!$M$5),ref!$K$5,IF(AND(L242&gt;=ref!$L$6,L242&lt;=ref!$M$6),ref!$K$6,IF(AND(L242&gt;=ref!$L$7,L242&lt;=ref!$M$7),ref!$K$7,IF(AND(L242&gt;=ref!$L$8,L242&lt;=ref!$M$8),ref!$K$8,IF(AND(L242&gt;=ref!$L$9,L242&lt;=ref!$M$9),ref!$K$9,IF(AND(L242&gt;=ref!$L$11,L242&lt;=ref!$M$11),ref!$K$11,IF(AND(L242&gt;=ref!$L$12,L242&lt;=ref!$M$12),ref!$K$12,""))))))))))</f>
        <v/>
      </c>
      <c r="N242" s="22"/>
      <c r="O242" s="16"/>
      <c r="P242" s="22"/>
      <c r="Q242" s="27"/>
      <c r="R242" s="22"/>
      <c r="S242" s="22"/>
      <c r="T242" s="16"/>
      <c r="U242" s="16"/>
      <c r="V242" s="16"/>
      <c r="W242" s="16"/>
      <c r="X242" s="16"/>
      <c r="Y242" s="16"/>
      <c r="Z242" s="16"/>
      <c r="AA242" s="16"/>
      <c r="AB242" s="22"/>
    </row>
    <row r="243" spans="1:28" x14ac:dyDescent="0.3">
      <c r="A243" s="22"/>
      <c r="B243" s="22"/>
      <c r="C243" s="22"/>
      <c r="D243" s="22"/>
      <c r="E243" s="22"/>
      <c r="F243" s="22"/>
      <c r="G243" s="22"/>
      <c r="H243" s="22"/>
      <c r="I243" s="24" t="str">
        <f t="shared" si="6"/>
        <v/>
      </c>
      <c r="J243" s="25" t="str">
        <f t="shared" si="7"/>
        <v/>
      </c>
      <c r="K243" s="22"/>
      <c r="L243" s="22"/>
      <c r="M243" s="25" t="str">
        <f>IF(AND(L243&gt;=ref!$L$2,L243&lt;=ref!$M$2),ref!$K$2,IF(AND(L243&gt;=ref!$L$3,L243&lt;=ref!$M$3),ref!$K$3,IF(AND(L243&gt;=ref!$L$4,L243&lt;=ref!$M$4),ref!$K$4,IF(AND(L243&gt;=ref!$L$5,L243&lt;=ref!$M$5),ref!$K$5,IF(AND(L243&gt;=ref!$L$6,L243&lt;=ref!$M$6),ref!$K$6,IF(AND(L243&gt;=ref!$L$7,L243&lt;=ref!$M$7),ref!$K$7,IF(AND(L243&gt;=ref!$L$8,L243&lt;=ref!$M$8),ref!$K$8,IF(AND(L243&gt;=ref!$L$9,L243&lt;=ref!$M$9),ref!$K$9,IF(AND(L243&gt;=ref!$L$11,L243&lt;=ref!$M$11),ref!$K$11,IF(AND(L243&gt;=ref!$L$12,L243&lt;=ref!$M$12),ref!$K$12,""))))))))))</f>
        <v/>
      </c>
      <c r="N243" s="22"/>
      <c r="O243" s="16"/>
      <c r="P243" s="22"/>
      <c r="Q243" s="27"/>
      <c r="R243" s="22"/>
      <c r="S243" s="22"/>
      <c r="T243" s="16"/>
      <c r="U243" s="16"/>
      <c r="V243" s="16"/>
      <c r="W243" s="16"/>
      <c r="X243" s="16"/>
      <c r="Y243" s="16"/>
      <c r="Z243" s="16"/>
      <c r="AA243" s="16"/>
      <c r="AB243" s="22"/>
    </row>
    <row r="244" spans="1:28" x14ac:dyDescent="0.3">
      <c r="A244" s="22"/>
      <c r="B244" s="22"/>
      <c r="C244" s="22"/>
      <c r="D244" s="22"/>
      <c r="E244" s="22"/>
      <c r="F244" s="22"/>
      <c r="G244" s="22"/>
      <c r="H244" s="22"/>
      <c r="I244" s="24" t="str">
        <f t="shared" si="6"/>
        <v/>
      </c>
      <c r="J244" s="25" t="str">
        <f t="shared" si="7"/>
        <v/>
      </c>
      <c r="K244" s="22"/>
      <c r="L244" s="22"/>
      <c r="M244" s="25" t="str">
        <f>IF(AND(L244&gt;=ref!$L$2,L244&lt;=ref!$M$2),ref!$K$2,IF(AND(L244&gt;=ref!$L$3,L244&lt;=ref!$M$3),ref!$K$3,IF(AND(L244&gt;=ref!$L$4,L244&lt;=ref!$M$4),ref!$K$4,IF(AND(L244&gt;=ref!$L$5,L244&lt;=ref!$M$5),ref!$K$5,IF(AND(L244&gt;=ref!$L$6,L244&lt;=ref!$M$6),ref!$K$6,IF(AND(L244&gt;=ref!$L$7,L244&lt;=ref!$M$7),ref!$K$7,IF(AND(L244&gt;=ref!$L$8,L244&lt;=ref!$M$8),ref!$K$8,IF(AND(L244&gt;=ref!$L$9,L244&lt;=ref!$M$9),ref!$K$9,IF(AND(L244&gt;=ref!$L$11,L244&lt;=ref!$M$11),ref!$K$11,IF(AND(L244&gt;=ref!$L$12,L244&lt;=ref!$M$12),ref!$K$12,""))))))))))</f>
        <v/>
      </c>
      <c r="N244" s="22"/>
      <c r="O244" s="16"/>
      <c r="P244" s="22"/>
      <c r="Q244" s="27"/>
      <c r="R244" s="22"/>
      <c r="S244" s="22"/>
      <c r="T244" s="16"/>
      <c r="U244" s="16"/>
      <c r="V244" s="16"/>
      <c r="W244" s="16"/>
      <c r="X244" s="16"/>
      <c r="Y244" s="16"/>
      <c r="Z244" s="16"/>
      <c r="AA244" s="16"/>
      <c r="AB244" s="22"/>
    </row>
    <row r="245" spans="1:28" x14ac:dyDescent="0.3">
      <c r="A245" s="22"/>
      <c r="B245" s="22"/>
      <c r="C245" s="22"/>
      <c r="D245" s="22"/>
      <c r="E245" s="22"/>
      <c r="F245" s="22"/>
      <c r="G245" s="22"/>
      <c r="H245" s="22"/>
      <c r="I245" s="24" t="str">
        <f t="shared" si="6"/>
        <v/>
      </c>
      <c r="J245" s="25" t="str">
        <f t="shared" si="7"/>
        <v/>
      </c>
      <c r="K245" s="22"/>
      <c r="L245" s="22"/>
      <c r="M245" s="25" t="str">
        <f>IF(AND(L245&gt;=ref!$L$2,L245&lt;=ref!$M$2),ref!$K$2,IF(AND(L245&gt;=ref!$L$3,L245&lt;=ref!$M$3),ref!$K$3,IF(AND(L245&gt;=ref!$L$4,L245&lt;=ref!$M$4),ref!$K$4,IF(AND(L245&gt;=ref!$L$5,L245&lt;=ref!$M$5),ref!$K$5,IF(AND(L245&gt;=ref!$L$6,L245&lt;=ref!$M$6),ref!$K$6,IF(AND(L245&gt;=ref!$L$7,L245&lt;=ref!$M$7),ref!$K$7,IF(AND(L245&gt;=ref!$L$8,L245&lt;=ref!$M$8),ref!$K$8,IF(AND(L245&gt;=ref!$L$9,L245&lt;=ref!$M$9),ref!$K$9,IF(AND(L245&gt;=ref!$L$11,L245&lt;=ref!$M$11),ref!$K$11,IF(AND(L245&gt;=ref!$L$12,L245&lt;=ref!$M$12),ref!$K$12,""))))))))))</f>
        <v/>
      </c>
      <c r="N245" s="22"/>
      <c r="O245" s="16"/>
      <c r="P245" s="22"/>
      <c r="Q245" s="27"/>
      <c r="R245" s="22"/>
      <c r="S245" s="22"/>
      <c r="T245" s="16"/>
      <c r="U245" s="16"/>
      <c r="V245" s="16"/>
      <c r="W245" s="16"/>
      <c r="X245" s="16"/>
      <c r="Y245" s="16"/>
      <c r="Z245" s="16"/>
      <c r="AA245" s="16"/>
      <c r="AB245" s="22"/>
    </row>
    <row r="246" spans="1:28" x14ac:dyDescent="0.3">
      <c r="A246" s="22"/>
      <c r="B246" s="22"/>
      <c r="C246" s="22"/>
      <c r="D246" s="22"/>
      <c r="E246" s="22"/>
      <c r="F246" s="22"/>
      <c r="G246" s="22"/>
      <c r="H246" s="22"/>
      <c r="I246" s="24" t="str">
        <f t="shared" si="6"/>
        <v/>
      </c>
      <c r="J246" s="25" t="str">
        <f t="shared" si="7"/>
        <v/>
      </c>
      <c r="K246" s="22"/>
      <c r="L246" s="22"/>
      <c r="M246" s="25" t="str">
        <f>IF(AND(L246&gt;=ref!$L$2,L246&lt;=ref!$M$2),ref!$K$2,IF(AND(L246&gt;=ref!$L$3,L246&lt;=ref!$M$3),ref!$K$3,IF(AND(L246&gt;=ref!$L$4,L246&lt;=ref!$M$4),ref!$K$4,IF(AND(L246&gt;=ref!$L$5,L246&lt;=ref!$M$5),ref!$K$5,IF(AND(L246&gt;=ref!$L$6,L246&lt;=ref!$M$6),ref!$K$6,IF(AND(L246&gt;=ref!$L$7,L246&lt;=ref!$M$7),ref!$K$7,IF(AND(L246&gt;=ref!$L$8,L246&lt;=ref!$M$8),ref!$K$8,IF(AND(L246&gt;=ref!$L$9,L246&lt;=ref!$M$9),ref!$K$9,IF(AND(L246&gt;=ref!$L$11,L246&lt;=ref!$M$11),ref!$K$11,IF(AND(L246&gt;=ref!$L$12,L246&lt;=ref!$M$12),ref!$K$12,""))))))))))</f>
        <v/>
      </c>
      <c r="N246" s="22"/>
      <c r="O246" s="16"/>
      <c r="P246" s="22"/>
      <c r="Q246" s="27"/>
      <c r="R246" s="22"/>
      <c r="S246" s="22"/>
      <c r="T246" s="16"/>
      <c r="U246" s="16"/>
      <c r="V246" s="16"/>
      <c r="W246" s="16"/>
      <c r="X246" s="16"/>
      <c r="Y246" s="16"/>
      <c r="Z246" s="16"/>
      <c r="AA246" s="16"/>
      <c r="AB246" s="22"/>
    </row>
    <row r="247" spans="1:28" x14ac:dyDescent="0.3">
      <c r="A247" s="22"/>
      <c r="B247" s="22"/>
      <c r="C247" s="22"/>
      <c r="D247" s="22"/>
      <c r="E247" s="22"/>
      <c r="F247" s="22"/>
      <c r="G247" s="22"/>
      <c r="H247" s="22"/>
      <c r="I247" s="24" t="str">
        <f t="shared" si="6"/>
        <v/>
      </c>
      <c r="J247" s="25" t="str">
        <f t="shared" si="7"/>
        <v/>
      </c>
      <c r="K247" s="22"/>
      <c r="L247" s="22"/>
      <c r="M247" s="25" t="str">
        <f>IF(AND(L247&gt;=ref!$L$2,L247&lt;=ref!$M$2),ref!$K$2,IF(AND(L247&gt;=ref!$L$3,L247&lt;=ref!$M$3),ref!$K$3,IF(AND(L247&gt;=ref!$L$4,L247&lt;=ref!$M$4),ref!$K$4,IF(AND(L247&gt;=ref!$L$5,L247&lt;=ref!$M$5),ref!$K$5,IF(AND(L247&gt;=ref!$L$6,L247&lt;=ref!$M$6),ref!$K$6,IF(AND(L247&gt;=ref!$L$7,L247&lt;=ref!$M$7),ref!$K$7,IF(AND(L247&gt;=ref!$L$8,L247&lt;=ref!$M$8),ref!$K$8,IF(AND(L247&gt;=ref!$L$9,L247&lt;=ref!$M$9),ref!$K$9,IF(AND(L247&gt;=ref!$L$11,L247&lt;=ref!$M$11),ref!$K$11,IF(AND(L247&gt;=ref!$L$12,L247&lt;=ref!$M$12),ref!$K$12,""))))))))))</f>
        <v/>
      </c>
      <c r="N247" s="22"/>
      <c r="O247" s="16"/>
      <c r="P247" s="22"/>
      <c r="Q247" s="27"/>
      <c r="R247" s="22"/>
      <c r="S247" s="22"/>
      <c r="T247" s="16"/>
      <c r="U247" s="16"/>
      <c r="V247" s="16"/>
      <c r="W247" s="16"/>
      <c r="X247" s="16"/>
      <c r="Y247" s="16"/>
      <c r="Z247" s="16"/>
      <c r="AA247" s="16"/>
      <c r="AB247" s="22"/>
    </row>
    <row r="248" spans="1:28" x14ac:dyDescent="0.3">
      <c r="A248" s="22"/>
      <c r="B248" s="22"/>
      <c r="C248" s="22"/>
      <c r="D248" s="22"/>
      <c r="E248" s="22"/>
      <c r="F248" s="22"/>
      <c r="G248" s="22"/>
      <c r="H248" s="22"/>
      <c r="I248" s="24" t="str">
        <f t="shared" si="6"/>
        <v/>
      </c>
      <c r="J248" s="25" t="str">
        <f t="shared" si="7"/>
        <v/>
      </c>
      <c r="K248" s="22"/>
      <c r="L248" s="22"/>
      <c r="M248" s="25" t="str">
        <f>IF(AND(L248&gt;=ref!$L$2,L248&lt;=ref!$M$2),ref!$K$2,IF(AND(L248&gt;=ref!$L$3,L248&lt;=ref!$M$3),ref!$K$3,IF(AND(L248&gt;=ref!$L$4,L248&lt;=ref!$M$4),ref!$K$4,IF(AND(L248&gt;=ref!$L$5,L248&lt;=ref!$M$5),ref!$K$5,IF(AND(L248&gt;=ref!$L$6,L248&lt;=ref!$M$6),ref!$K$6,IF(AND(L248&gt;=ref!$L$7,L248&lt;=ref!$M$7),ref!$K$7,IF(AND(L248&gt;=ref!$L$8,L248&lt;=ref!$M$8),ref!$K$8,IF(AND(L248&gt;=ref!$L$9,L248&lt;=ref!$M$9),ref!$K$9,IF(AND(L248&gt;=ref!$L$11,L248&lt;=ref!$M$11),ref!$K$11,IF(AND(L248&gt;=ref!$L$12,L248&lt;=ref!$M$12),ref!$K$12,""))))))))))</f>
        <v/>
      </c>
      <c r="N248" s="22"/>
      <c r="O248" s="16"/>
      <c r="P248" s="22"/>
      <c r="Q248" s="27"/>
      <c r="R248" s="22"/>
      <c r="S248" s="22"/>
      <c r="T248" s="16"/>
      <c r="U248" s="16"/>
      <c r="V248" s="16"/>
      <c r="W248" s="16"/>
      <c r="X248" s="16"/>
      <c r="Y248" s="16"/>
      <c r="Z248" s="16"/>
      <c r="AA248" s="16"/>
      <c r="AB248" s="22"/>
    </row>
    <row r="249" spans="1:28" x14ac:dyDescent="0.3">
      <c r="A249" s="22"/>
      <c r="B249" s="22"/>
      <c r="C249" s="22"/>
      <c r="D249" s="22"/>
      <c r="E249" s="22"/>
      <c r="F249" s="22"/>
      <c r="G249" s="22"/>
      <c r="H249" s="22"/>
      <c r="I249" s="24" t="str">
        <f t="shared" si="6"/>
        <v/>
      </c>
      <c r="J249" s="25" t="str">
        <f t="shared" si="7"/>
        <v/>
      </c>
      <c r="K249" s="22"/>
      <c r="L249" s="22"/>
      <c r="M249" s="25" t="str">
        <f>IF(AND(L249&gt;=ref!$L$2,L249&lt;=ref!$M$2),ref!$K$2,IF(AND(L249&gt;=ref!$L$3,L249&lt;=ref!$M$3),ref!$K$3,IF(AND(L249&gt;=ref!$L$4,L249&lt;=ref!$M$4),ref!$K$4,IF(AND(L249&gt;=ref!$L$5,L249&lt;=ref!$M$5),ref!$K$5,IF(AND(L249&gt;=ref!$L$6,L249&lt;=ref!$M$6),ref!$K$6,IF(AND(L249&gt;=ref!$L$7,L249&lt;=ref!$M$7),ref!$K$7,IF(AND(L249&gt;=ref!$L$8,L249&lt;=ref!$M$8),ref!$K$8,IF(AND(L249&gt;=ref!$L$9,L249&lt;=ref!$M$9),ref!$K$9,IF(AND(L249&gt;=ref!$L$11,L249&lt;=ref!$M$11),ref!$K$11,IF(AND(L249&gt;=ref!$L$12,L249&lt;=ref!$M$12),ref!$K$12,""))))))))))</f>
        <v/>
      </c>
      <c r="N249" s="22"/>
      <c r="O249" s="16"/>
      <c r="P249" s="22"/>
      <c r="Q249" s="27"/>
      <c r="R249" s="22"/>
      <c r="S249" s="22"/>
      <c r="T249" s="16"/>
      <c r="U249" s="16"/>
      <c r="V249" s="16"/>
      <c r="W249" s="16"/>
      <c r="X249" s="16"/>
      <c r="Y249" s="16"/>
      <c r="Z249" s="16"/>
      <c r="AA249" s="16"/>
      <c r="AB249" s="22"/>
    </row>
    <row r="250" spans="1:28" x14ac:dyDescent="0.3">
      <c r="A250" s="22"/>
      <c r="B250" s="22"/>
      <c r="C250" s="22"/>
      <c r="D250" s="22"/>
      <c r="E250" s="22"/>
      <c r="F250" s="22"/>
      <c r="G250" s="22"/>
      <c r="H250" s="22"/>
      <c r="I250" s="24" t="str">
        <f t="shared" si="6"/>
        <v/>
      </c>
      <c r="J250" s="25" t="str">
        <f t="shared" si="7"/>
        <v/>
      </c>
      <c r="K250" s="22"/>
      <c r="L250" s="22"/>
      <c r="M250" s="25" t="str">
        <f>IF(AND(L250&gt;=ref!$L$2,L250&lt;=ref!$M$2),ref!$K$2,IF(AND(L250&gt;=ref!$L$3,L250&lt;=ref!$M$3),ref!$K$3,IF(AND(L250&gt;=ref!$L$4,L250&lt;=ref!$M$4),ref!$K$4,IF(AND(L250&gt;=ref!$L$5,L250&lt;=ref!$M$5),ref!$K$5,IF(AND(L250&gt;=ref!$L$6,L250&lt;=ref!$M$6),ref!$K$6,IF(AND(L250&gt;=ref!$L$7,L250&lt;=ref!$M$7),ref!$K$7,IF(AND(L250&gt;=ref!$L$8,L250&lt;=ref!$M$8),ref!$K$8,IF(AND(L250&gt;=ref!$L$9,L250&lt;=ref!$M$9),ref!$K$9,IF(AND(L250&gt;=ref!$L$11,L250&lt;=ref!$M$11),ref!$K$11,IF(AND(L250&gt;=ref!$L$12,L250&lt;=ref!$M$12),ref!$K$12,""))))))))))</f>
        <v/>
      </c>
      <c r="N250" s="22"/>
      <c r="O250" s="16"/>
      <c r="P250" s="22"/>
      <c r="Q250" s="27"/>
      <c r="R250" s="22"/>
      <c r="S250" s="22"/>
      <c r="T250" s="16"/>
      <c r="U250" s="16"/>
      <c r="V250" s="16"/>
      <c r="W250" s="16"/>
      <c r="X250" s="16"/>
      <c r="Y250" s="16"/>
      <c r="Z250" s="16"/>
      <c r="AA250" s="16"/>
      <c r="AB250" s="22"/>
    </row>
    <row r="251" spans="1:28" x14ac:dyDescent="0.3">
      <c r="A251" s="22"/>
      <c r="B251" s="22"/>
      <c r="C251" s="22"/>
      <c r="D251" s="22"/>
      <c r="E251" s="22"/>
      <c r="F251" s="22"/>
      <c r="G251" s="22"/>
      <c r="H251" s="22"/>
      <c r="I251" s="24" t="str">
        <f t="shared" si="6"/>
        <v/>
      </c>
      <c r="J251" s="25" t="str">
        <f t="shared" si="7"/>
        <v/>
      </c>
      <c r="K251" s="22"/>
      <c r="L251" s="22"/>
      <c r="M251" s="25" t="str">
        <f>IF(AND(L251&gt;=ref!$L$2,L251&lt;=ref!$M$2),ref!$K$2,IF(AND(L251&gt;=ref!$L$3,L251&lt;=ref!$M$3),ref!$K$3,IF(AND(L251&gt;=ref!$L$4,L251&lt;=ref!$M$4),ref!$K$4,IF(AND(L251&gt;=ref!$L$5,L251&lt;=ref!$M$5),ref!$K$5,IF(AND(L251&gt;=ref!$L$6,L251&lt;=ref!$M$6),ref!$K$6,IF(AND(L251&gt;=ref!$L$7,L251&lt;=ref!$M$7),ref!$K$7,IF(AND(L251&gt;=ref!$L$8,L251&lt;=ref!$M$8),ref!$K$8,IF(AND(L251&gt;=ref!$L$9,L251&lt;=ref!$M$9),ref!$K$9,IF(AND(L251&gt;=ref!$L$11,L251&lt;=ref!$M$11),ref!$K$11,IF(AND(L251&gt;=ref!$L$12,L251&lt;=ref!$M$12),ref!$K$12,""))))))))))</f>
        <v/>
      </c>
      <c r="N251" s="22"/>
      <c r="O251" s="16"/>
      <c r="P251" s="22"/>
      <c r="Q251" s="27"/>
      <c r="R251" s="22"/>
      <c r="S251" s="22"/>
      <c r="T251" s="16"/>
      <c r="U251" s="16"/>
      <c r="V251" s="16"/>
      <c r="W251" s="16"/>
      <c r="X251" s="16"/>
      <c r="Y251" s="16"/>
      <c r="Z251" s="16"/>
      <c r="AA251" s="16"/>
      <c r="AB251" s="22"/>
    </row>
    <row r="252" spans="1:28" x14ac:dyDescent="0.3">
      <c r="A252" s="22"/>
      <c r="B252" s="22"/>
      <c r="C252" s="22"/>
      <c r="D252" s="22"/>
      <c r="E252" s="22"/>
      <c r="F252" s="22"/>
      <c r="G252" s="22"/>
      <c r="H252" s="22"/>
      <c r="I252" s="24" t="str">
        <f t="shared" si="6"/>
        <v/>
      </c>
      <c r="J252" s="25" t="str">
        <f t="shared" si="7"/>
        <v/>
      </c>
      <c r="K252" s="22"/>
      <c r="L252" s="22"/>
      <c r="M252" s="25" t="str">
        <f>IF(AND(L252&gt;=ref!$L$2,L252&lt;=ref!$M$2),ref!$K$2,IF(AND(L252&gt;=ref!$L$3,L252&lt;=ref!$M$3),ref!$K$3,IF(AND(L252&gt;=ref!$L$4,L252&lt;=ref!$M$4),ref!$K$4,IF(AND(L252&gt;=ref!$L$5,L252&lt;=ref!$M$5),ref!$K$5,IF(AND(L252&gt;=ref!$L$6,L252&lt;=ref!$M$6),ref!$K$6,IF(AND(L252&gt;=ref!$L$7,L252&lt;=ref!$M$7),ref!$K$7,IF(AND(L252&gt;=ref!$L$8,L252&lt;=ref!$M$8),ref!$K$8,IF(AND(L252&gt;=ref!$L$9,L252&lt;=ref!$M$9),ref!$K$9,IF(AND(L252&gt;=ref!$L$11,L252&lt;=ref!$M$11),ref!$K$11,IF(AND(L252&gt;=ref!$L$12,L252&lt;=ref!$M$12),ref!$K$12,""))))))))))</f>
        <v/>
      </c>
      <c r="N252" s="22"/>
      <c r="O252" s="16"/>
      <c r="P252" s="22"/>
      <c r="Q252" s="27"/>
      <c r="R252" s="22"/>
      <c r="S252" s="22"/>
      <c r="T252" s="16"/>
      <c r="U252" s="16"/>
      <c r="V252" s="16"/>
      <c r="W252" s="16"/>
      <c r="X252" s="16"/>
      <c r="Y252" s="16"/>
      <c r="Z252" s="16"/>
      <c r="AA252" s="16"/>
      <c r="AB252" s="22"/>
    </row>
    <row r="253" spans="1:28" x14ac:dyDescent="0.3">
      <c r="A253" s="22"/>
      <c r="B253" s="22"/>
      <c r="C253" s="22"/>
      <c r="D253" s="22"/>
      <c r="E253" s="22"/>
      <c r="F253" s="22"/>
      <c r="G253" s="22"/>
      <c r="H253" s="22"/>
      <c r="I253" s="24" t="str">
        <f t="shared" si="6"/>
        <v/>
      </c>
      <c r="J253" s="25" t="str">
        <f t="shared" si="7"/>
        <v/>
      </c>
      <c r="K253" s="22"/>
      <c r="L253" s="22"/>
      <c r="M253" s="25" t="str">
        <f>IF(AND(L253&gt;=ref!$L$2,L253&lt;=ref!$M$2),ref!$K$2,IF(AND(L253&gt;=ref!$L$3,L253&lt;=ref!$M$3),ref!$K$3,IF(AND(L253&gt;=ref!$L$4,L253&lt;=ref!$M$4),ref!$K$4,IF(AND(L253&gt;=ref!$L$5,L253&lt;=ref!$M$5),ref!$K$5,IF(AND(L253&gt;=ref!$L$6,L253&lt;=ref!$M$6),ref!$K$6,IF(AND(L253&gt;=ref!$L$7,L253&lt;=ref!$M$7),ref!$K$7,IF(AND(L253&gt;=ref!$L$8,L253&lt;=ref!$M$8),ref!$K$8,IF(AND(L253&gt;=ref!$L$9,L253&lt;=ref!$M$9),ref!$K$9,IF(AND(L253&gt;=ref!$L$11,L253&lt;=ref!$M$11),ref!$K$11,IF(AND(L253&gt;=ref!$L$12,L253&lt;=ref!$M$12),ref!$K$12,""))))))))))</f>
        <v/>
      </c>
      <c r="N253" s="22"/>
      <c r="O253" s="16"/>
      <c r="P253" s="22"/>
      <c r="Q253" s="27"/>
      <c r="R253" s="22"/>
      <c r="S253" s="22"/>
      <c r="T253" s="16"/>
      <c r="U253" s="16"/>
      <c r="V253" s="16"/>
      <c r="W253" s="16"/>
      <c r="X253" s="16"/>
      <c r="Y253" s="16"/>
      <c r="Z253" s="16"/>
      <c r="AA253" s="16"/>
      <c r="AB253" s="22"/>
    </row>
    <row r="254" spans="1:28" x14ac:dyDescent="0.3">
      <c r="A254" s="22"/>
      <c r="B254" s="22"/>
      <c r="C254" s="22"/>
      <c r="D254" s="22"/>
      <c r="E254" s="22"/>
      <c r="F254" s="22"/>
      <c r="G254" s="22"/>
      <c r="H254" s="22"/>
      <c r="I254" s="24" t="str">
        <f t="shared" si="6"/>
        <v/>
      </c>
      <c r="J254" s="25" t="str">
        <f t="shared" si="7"/>
        <v/>
      </c>
      <c r="K254" s="22"/>
      <c r="L254" s="22"/>
      <c r="M254" s="25" t="str">
        <f>IF(AND(L254&gt;=ref!$L$2,L254&lt;=ref!$M$2),ref!$K$2,IF(AND(L254&gt;=ref!$L$3,L254&lt;=ref!$M$3),ref!$K$3,IF(AND(L254&gt;=ref!$L$4,L254&lt;=ref!$M$4),ref!$K$4,IF(AND(L254&gt;=ref!$L$5,L254&lt;=ref!$M$5),ref!$K$5,IF(AND(L254&gt;=ref!$L$6,L254&lt;=ref!$M$6),ref!$K$6,IF(AND(L254&gt;=ref!$L$7,L254&lt;=ref!$M$7),ref!$K$7,IF(AND(L254&gt;=ref!$L$8,L254&lt;=ref!$M$8),ref!$K$8,IF(AND(L254&gt;=ref!$L$9,L254&lt;=ref!$M$9),ref!$K$9,IF(AND(L254&gt;=ref!$L$11,L254&lt;=ref!$M$11),ref!$K$11,IF(AND(L254&gt;=ref!$L$12,L254&lt;=ref!$M$12),ref!$K$12,""))))))))))</f>
        <v/>
      </c>
      <c r="N254" s="22"/>
      <c r="O254" s="16"/>
      <c r="P254" s="22"/>
      <c r="Q254" s="27"/>
      <c r="R254" s="22"/>
      <c r="S254" s="22"/>
      <c r="T254" s="16"/>
      <c r="U254" s="16"/>
      <c r="V254" s="16"/>
      <c r="W254" s="16"/>
      <c r="X254" s="16"/>
      <c r="Y254" s="16"/>
      <c r="Z254" s="16"/>
      <c r="AA254" s="16"/>
      <c r="AB254" s="22"/>
    </row>
    <row r="255" spans="1:28" x14ac:dyDescent="0.3">
      <c r="A255" s="22"/>
      <c r="B255" s="22"/>
      <c r="C255" s="22"/>
      <c r="D255" s="22"/>
      <c r="E255" s="22"/>
      <c r="F255" s="22"/>
      <c r="G255" s="22"/>
      <c r="H255" s="22"/>
      <c r="I255" s="24" t="str">
        <f t="shared" si="6"/>
        <v/>
      </c>
      <c r="J255" s="25" t="str">
        <f t="shared" si="7"/>
        <v/>
      </c>
      <c r="K255" s="22"/>
      <c r="L255" s="22"/>
      <c r="M255" s="25" t="str">
        <f>IF(AND(L255&gt;=ref!$L$2,L255&lt;=ref!$M$2),ref!$K$2,IF(AND(L255&gt;=ref!$L$3,L255&lt;=ref!$M$3),ref!$K$3,IF(AND(L255&gt;=ref!$L$4,L255&lt;=ref!$M$4),ref!$K$4,IF(AND(L255&gt;=ref!$L$5,L255&lt;=ref!$M$5),ref!$K$5,IF(AND(L255&gt;=ref!$L$6,L255&lt;=ref!$M$6),ref!$K$6,IF(AND(L255&gt;=ref!$L$7,L255&lt;=ref!$M$7),ref!$K$7,IF(AND(L255&gt;=ref!$L$8,L255&lt;=ref!$M$8),ref!$K$8,IF(AND(L255&gt;=ref!$L$9,L255&lt;=ref!$M$9),ref!$K$9,IF(AND(L255&gt;=ref!$L$11,L255&lt;=ref!$M$11),ref!$K$11,IF(AND(L255&gt;=ref!$L$12,L255&lt;=ref!$M$12),ref!$K$12,""))))))))))</f>
        <v/>
      </c>
      <c r="N255" s="22"/>
      <c r="O255" s="16"/>
      <c r="P255" s="22"/>
      <c r="Q255" s="27"/>
      <c r="R255" s="22"/>
      <c r="S255" s="22"/>
      <c r="T255" s="16"/>
      <c r="U255" s="16"/>
      <c r="V255" s="16"/>
      <c r="W255" s="16"/>
      <c r="X255" s="16"/>
      <c r="Y255" s="16"/>
      <c r="Z255" s="16"/>
      <c r="AA255" s="16"/>
      <c r="AB255" s="22"/>
    </row>
    <row r="256" spans="1:28" x14ac:dyDescent="0.3">
      <c r="A256" s="22"/>
      <c r="B256" s="22"/>
      <c r="C256" s="22"/>
      <c r="D256" s="22"/>
      <c r="E256" s="22"/>
      <c r="F256" s="22"/>
      <c r="G256" s="22"/>
      <c r="H256" s="22"/>
      <c r="I256" s="24" t="str">
        <f t="shared" si="6"/>
        <v/>
      </c>
      <c r="J256" s="25" t="str">
        <f t="shared" si="7"/>
        <v/>
      </c>
      <c r="K256" s="22"/>
      <c r="L256" s="22"/>
      <c r="M256" s="25" t="str">
        <f>IF(AND(L256&gt;=ref!$L$2,L256&lt;=ref!$M$2),ref!$K$2,IF(AND(L256&gt;=ref!$L$3,L256&lt;=ref!$M$3),ref!$K$3,IF(AND(L256&gt;=ref!$L$4,L256&lt;=ref!$M$4),ref!$K$4,IF(AND(L256&gt;=ref!$L$5,L256&lt;=ref!$M$5),ref!$K$5,IF(AND(L256&gt;=ref!$L$6,L256&lt;=ref!$M$6),ref!$K$6,IF(AND(L256&gt;=ref!$L$7,L256&lt;=ref!$M$7),ref!$K$7,IF(AND(L256&gt;=ref!$L$8,L256&lt;=ref!$M$8),ref!$K$8,IF(AND(L256&gt;=ref!$L$9,L256&lt;=ref!$M$9),ref!$K$9,IF(AND(L256&gt;=ref!$L$11,L256&lt;=ref!$M$11),ref!$K$11,IF(AND(L256&gt;=ref!$L$12,L256&lt;=ref!$M$12),ref!$K$12,""))))))))))</f>
        <v/>
      </c>
      <c r="N256" s="22"/>
      <c r="O256" s="16"/>
      <c r="P256" s="22"/>
      <c r="Q256" s="27"/>
      <c r="R256" s="22"/>
      <c r="S256" s="22"/>
      <c r="T256" s="16"/>
      <c r="U256" s="16"/>
      <c r="V256" s="16"/>
      <c r="W256" s="16"/>
      <c r="X256" s="16"/>
      <c r="Y256" s="16"/>
      <c r="Z256" s="16"/>
      <c r="AA256" s="16"/>
      <c r="AB256" s="22"/>
    </row>
    <row r="257" spans="1:28" x14ac:dyDescent="0.3">
      <c r="A257" s="22"/>
      <c r="B257" s="22"/>
      <c r="C257" s="22"/>
      <c r="D257" s="22"/>
      <c r="E257" s="22"/>
      <c r="F257" s="22"/>
      <c r="G257" s="22"/>
      <c r="H257" s="22"/>
      <c r="I257" s="24" t="str">
        <f t="shared" si="6"/>
        <v/>
      </c>
      <c r="J257" s="25" t="str">
        <f t="shared" si="7"/>
        <v/>
      </c>
      <c r="K257" s="22"/>
      <c r="L257" s="22"/>
      <c r="M257" s="25" t="str">
        <f>IF(AND(L257&gt;=ref!$L$2,L257&lt;=ref!$M$2),ref!$K$2,IF(AND(L257&gt;=ref!$L$3,L257&lt;=ref!$M$3),ref!$K$3,IF(AND(L257&gt;=ref!$L$4,L257&lt;=ref!$M$4),ref!$K$4,IF(AND(L257&gt;=ref!$L$5,L257&lt;=ref!$M$5),ref!$K$5,IF(AND(L257&gt;=ref!$L$6,L257&lt;=ref!$M$6),ref!$K$6,IF(AND(L257&gt;=ref!$L$7,L257&lt;=ref!$M$7),ref!$K$7,IF(AND(L257&gt;=ref!$L$8,L257&lt;=ref!$M$8),ref!$K$8,IF(AND(L257&gt;=ref!$L$9,L257&lt;=ref!$M$9),ref!$K$9,IF(AND(L257&gt;=ref!$L$11,L257&lt;=ref!$M$11),ref!$K$11,IF(AND(L257&gt;=ref!$L$12,L257&lt;=ref!$M$12),ref!$K$12,""))))))))))</f>
        <v/>
      </c>
      <c r="N257" s="22"/>
      <c r="O257" s="16"/>
      <c r="P257" s="22"/>
      <c r="Q257" s="27"/>
      <c r="R257" s="22"/>
      <c r="S257" s="22"/>
      <c r="T257" s="16"/>
      <c r="U257" s="16"/>
      <c r="V257" s="16"/>
      <c r="W257" s="16"/>
      <c r="X257" s="16"/>
      <c r="Y257" s="16"/>
      <c r="Z257" s="16"/>
      <c r="AA257" s="16"/>
      <c r="AB257" s="22"/>
    </row>
    <row r="258" spans="1:28" x14ac:dyDescent="0.3">
      <c r="A258" s="22"/>
      <c r="B258" s="22"/>
      <c r="C258" s="22"/>
      <c r="D258" s="22"/>
      <c r="E258" s="22"/>
      <c r="F258" s="22"/>
      <c r="G258" s="22"/>
      <c r="H258" s="22"/>
      <c r="I258" s="24" t="str">
        <f t="shared" si="6"/>
        <v/>
      </c>
      <c r="J258" s="25" t="str">
        <f t="shared" si="7"/>
        <v/>
      </c>
      <c r="K258" s="22"/>
      <c r="L258" s="22"/>
      <c r="M258" s="25" t="str">
        <f>IF(AND(L258&gt;=ref!$L$2,L258&lt;=ref!$M$2),ref!$K$2,IF(AND(L258&gt;=ref!$L$3,L258&lt;=ref!$M$3),ref!$K$3,IF(AND(L258&gt;=ref!$L$4,L258&lt;=ref!$M$4),ref!$K$4,IF(AND(L258&gt;=ref!$L$5,L258&lt;=ref!$M$5),ref!$K$5,IF(AND(L258&gt;=ref!$L$6,L258&lt;=ref!$M$6),ref!$K$6,IF(AND(L258&gt;=ref!$L$7,L258&lt;=ref!$M$7),ref!$K$7,IF(AND(L258&gt;=ref!$L$8,L258&lt;=ref!$M$8),ref!$K$8,IF(AND(L258&gt;=ref!$L$9,L258&lt;=ref!$M$9),ref!$K$9,IF(AND(L258&gt;=ref!$L$11,L258&lt;=ref!$M$11),ref!$K$11,IF(AND(L258&gt;=ref!$L$12,L258&lt;=ref!$M$12),ref!$K$12,""))))))))))</f>
        <v/>
      </c>
      <c r="N258" s="22"/>
      <c r="O258" s="16"/>
      <c r="P258" s="22"/>
      <c r="Q258" s="27"/>
      <c r="R258" s="22"/>
      <c r="S258" s="22"/>
      <c r="T258" s="16"/>
      <c r="U258" s="16"/>
      <c r="V258" s="16"/>
      <c r="W258" s="16"/>
      <c r="X258" s="16"/>
      <c r="Y258" s="16"/>
      <c r="Z258" s="16"/>
      <c r="AA258" s="16"/>
      <c r="AB258" s="22"/>
    </row>
    <row r="259" spans="1:28" x14ac:dyDescent="0.3">
      <c r="A259" s="22"/>
      <c r="B259" s="22"/>
      <c r="C259" s="22"/>
      <c r="D259" s="22"/>
      <c r="E259" s="22"/>
      <c r="F259" s="22"/>
      <c r="G259" s="22"/>
      <c r="H259" s="22"/>
      <c r="I259" s="24" t="str">
        <f t="shared" si="6"/>
        <v/>
      </c>
      <c r="J259" s="25" t="str">
        <f t="shared" si="7"/>
        <v/>
      </c>
      <c r="K259" s="22"/>
      <c r="L259" s="22"/>
      <c r="M259" s="25" t="str">
        <f>IF(AND(L259&gt;=ref!$L$2,L259&lt;=ref!$M$2),ref!$K$2,IF(AND(L259&gt;=ref!$L$3,L259&lt;=ref!$M$3),ref!$K$3,IF(AND(L259&gt;=ref!$L$4,L259&lt;=ref!$M$4),ref!$K$4,IF(AND(L259&gt;=ref!$L$5,L259&lt;=ref!$M$5),ref!$K$5,IF(AND(L259&gt;=ref!$L$6,L259&lt;=ref!$M$6),ref!$K$6,IF(AND(L259&gt;=ref!$L$7,L259&lt;=ref!$M$7),ref!$K$7,IF(AND(L259&gt;=ref!$L$8,L259&lt;=ref!$M$8),ref!$K$8,IF(AND(L259&gt;=ref!$L$9,L259&lt;=ref!$M$9),ref!$K$9,IF(AND(L259&gt;=ref!$L$11,L259&lt;=ref!$M$11),ref!$K$11,IF(AND(L259&gt;=ref!$L$12,L259&lt;=ref!$M$12),ref!$K$12,""))))))))))</f>
        <v/>
      </c>
      <c r="N259" s="22"/>
      <c r="O259" s="16"/>
      <c r="P259" s="22"/>
      <c r="Q259" s="27"/>
      <c r="R259" s="22"/>
      <c r="S259" s="22"/>
      <c r="T259" s="16"/>
      <c r="U259" s="16"/>
      <c r="V259" s="16"/>
      <c r="W259" s="16"/>
      <c r="X259" s="16"/>
      <c r="Y259" s="16"/>
      <c r="Z259" s="16"/>
      <c r="AA259" s="16"/>
      <c r="AB259" s="22"/>
    </row>
    <row r="260" spans="1:28" x14ac:dyDescent="0.3">
      <c r="A260" s="22"/>
      <c r="B260" s="22"/>
      <c r="C260" s="22"/>
      <c r="D260" s="22"/>
      <c r="E260" s="22"/>
      <c r="F260" s="22"/>
      <c r="G260" s="22"/>
      <c r="H260" s="22"/>
      <c r="I260" s="24" t="str">
        <f t="shared" si="6"/>
        <v/>
      </c>
      <c r="J260" s="25" t="str">
        <f t="shared" si="7"/>
        <v/>
      </c>
      <c r="K260" s="22"/>
      <c r="L260" s="22"/>
      <c r="M260" s="25" t="str">
        <f>IF(AND(L260&gt;=ref!$L$2,L260&lt;=ref!$M$2),ref!$K$2,IF(AND(L260&gt;=ref!$L$3,L260&lt;=ref!$M$3),ref!$K$3,IF(AND(L260&gt;=ref!$L$4,L260&lt;=ref!$M$4),ref!$K$4,IF(AND(L260&gt;=ref!$L$5,L260&lt;=ref!$M$5),ref!$K$5,IF(AND(L260&gt;=ref!$L$6,L260&lt;=ref!$M$6),ref!$K$6,IF(AND(L260&gt;=ref!$L$7,L260&lt;=ref!$M$7),ref!$K$7,IF(AND(L260&gt;=ref!$L$8,L260&lt;=ref!$M$8),ref!$K$8,IF(AND(L260&gt;=ref!$L$9,L260&lt;=ref!$M$9),ref!$K$9,IF(AND(L260&gt;=ref!$L$11,L260&lt;=ref!$M$11),ref!$K$11,IF(AND(L260&gt;=ref!$L$12,L260&lt;=ref!$M$12),ref!$K$12,""))))))))))</f>
        <v/>
      </c>
      <c r="N260" s="22"/>
      <c r="O260" s="16"/>
      <c r="P260" s="22"/>
      <c r="Q260" s="27"/>
      <c r="R260" s="22"/>
      <c r="S260" s="22"/>
      <c r="T260" s="16"/>
      <c r="U260" s="16"/>
      <c r="V260" s="16"/>
      <c r="W260" s="16"/>
      <c r="X260" s="16"/>
      <c r="Y260" s="16"/>
      <c r="Z260" s="16"/>
      <c r="AA260" s="16"/>
      <c r="AB260" s="22"/>
    </row>
    <row r="261" spans="1:28" x14ac:dyDescent="0.3">
      <c r="A261" s="22"/>
      <c r="B261" s="22"/>
      <c r="C261" s="22"/>
      <c r="D261" s="22"/>
      <c r="E261" s="22"/>
      <c r="F261" s="22"/>
      <c r="G261" s="22"/>
      <c r="H261" s="22"/>
      <c r="I261" s="24" t="str">
        <f t="shared" si="6"/>
        <v/>
      </c>
      <c r="J261" s="25" t="str">
        <f t="shared" si="7"/>
        <v/>
      </c>
      <c r="K261" s="22"/>
      <c r="L261" s="22"/>
      <c r="M261" s="25" t="str">
        <f>IF(AND(L261&gt;=ref!$L$2,L261&lt;=ref!$M$2),ref!$K$2,IF(AND(L261&gt;=ref!$L$3,L261&lt;=ref!$M$3),ref!$K$3,IF(AND(L261&gt;=ref!$L$4,L261&lt;=ref!$M$4),ref!$K$4,IF(AND(L261&gt;=ref!$L$5,L261&lt;=ref!$M$5),ref!$K$5,IF(AND(L261&gt;=ref!$L$6,L261&lt;=ref!$M$6),ref!$K$6,IF(AND(L261&gt;=ref!$L$7,L261&lt;=ref!$M$7),ref!$K$7,IF(AND(L261&gt;=ref!$L$8,L261&lt;=ref!$M$8),ref!$K$8,IF(AND(L261&gt;=ref!$L$9,L261&lt;=ref!$M$9),ref!$K$9,IF(AND(L261&gt;=ref!$L$11,L261&lt;=ref!$M$11),ref!$K$11,IF(AND(L261&gt;=ref!$L$12,L261&lt;=ref!$M$12),ref!$K$12,""))))))))))</f>
        <v/>
      </c>
      <c r="N261" s="22"/>
      <c r="O261" s="16"/>
      <c r="P261" s="22"/>
      <c r="Q261" s="27"/>
      <c r="R261" s="22"/>
      <c r="S261" s="22"/>
      <c r="T261" s="16"/>
      <c r="U261" s="16"/>
      <c r="V261" s="16"/>
      <c r="W261" s="16"/>
      <c r="X261" s="16"/>
      <c r="Y261" s="16"/>
      <c r="Z261" s="16"/>
      <c r="AA261" s="16"/>
      <c r="AB261" s="22"/>
    </row>
    <row r="262" spans="1:28" x14ac:dyDescent="0.3">
      <c r="A262" s="22"/>
      <c r="B262" s="22"/>
      <c r="C262" s="22"/>
      <c r="D262" s="22"/>
      <c r="E262" s="22"/>
      <c r="F262" s="22"/>
      <c r="G262" s="22"/>
      <c r="H262" s="22"/>
      <c r="I262" s="24" t="str">
        <f t="shared" si="6"/>
        <v/>
      </c>
      <c r="J262" s="25" t="str">
        <f t="shared" si="7"/>
        <v/>
      </c>
      <c r="K262" s="22"/>
      <c r="L262" s="22"/>
      <c r="M262" s="25" t="str">
        <f>IF(AND(L262&gt;=ref!$L$2,L262&lt;=ref!$M$2),ref!$K$2,IF(AND(L262&gt;=ref!$L$3,L262&lt;=ref!$M$3),ref!$K$3,IF(AND(L262&gt;=ref!$L$4,L262&lt;=ref!$M$4),ref!$K$4,IF(AND(L262&gt;=ref!$L$5,L262&lt;=ref!$M$5),ref!$K$5,IF(AND(L262&gt;=ref!$L$6,L262&lt;=ref!$M$6),ref!$K$6,IF(AND(L262&gt;=ref!$L$7,L262&lt;=ref!$M$7),ref!$K$7,IF(AND(L262&gt;=ref!$L$8,L262&lt;=ref!$M$8),ref!$K$8,IF(AND(L262&gt;=ref!$L$9,L262&lt;=ref!$M$9),ref!$K$9,IF(AND(L262&gt;=ref!$L$11,L262&lt;=ref!$M$11),ref!$K$11,IF(AND(L262&gt;=ref!$L$12,L262&lt;=ref!$M$12),ref!$K$12,""))))))))))</f>
        <v/>
      </c>
      <c r="N262" s="22"/>
      <c r="O262" s="16"/>
      <c r="P262" s="22"/>
      <c r="Q262" s="27"/>
      <c r="R262" s="22"/>
      <c r="S262" s="22"/>
      <c r="T262" s="16"/>
      <c r="U262" s="16"/>
      <c r="V262" s="16"/>
      <c r="W262" s="16"/>
      <c r="X262" s="16"/>
      <c r="Y262" s="16"/>
      <c r="Z262" s="16"/>
      <c r="AA262" s="16"/>
      <c r="AB262" s="22"/>
    </row>
    <row r="263" spans="1:28" x14ac:dyDescent="0.3">
      <c r="A263" s="22"/>
      <c r="B263" s="22"/>
      <c r="C263" s="22"/>
      <c r="D263" s="22"/>
      <c r="E263" s="22"/>
      <c r="F263" s="22"/>
      <c r="G263" s="22"/>
      <c r="H263" s="22"/>
      <c r="I263" s="24" t="str">
        <f t="shared" ref="I263:I326" si="8">IF(H263="","",IF(H263-D263&lt;=30,"Yes","No"))</f>
        <v/>
      </c>
      <c r="J263" s="25" t="str">
        <f t="shared" ref="J263:J326" si="9">IF(H263&lt;&gt;"",TEXT(H263,"ddd"),"")</f>
        <v/>
      </c>
      <c r="K263" s="22"/>
      <c r="L263" s="22"/>
      <c r="M263" s="25" t="str">
        <f>IF(AND(L263&gt;=ref!$L$2,L263&lt;=ref!$M$2),ref!$K$2,IF(AND(L263&gt;=ref!$L$3,L263&lt;=ref!$M$3),ref!$K$3,IF(AND(L263&gt;=ref!$L$4,L263&lt;=ref!$M$4),ref!$K$4,IF(AND(L263&gt;=ref!$L$5,L263&lt;=ref!$M$5),ref!$K$5,IF(AND(L263&gt;=ref!$L$6,L263&lt;=ref!$M$6),ref!$K$6,IF(AND(L263&gt;=ref!$L$7,L263&lt;=ref!$M$7),ref!$K$7,IF(AND(L263&gt;=ref!$L$8,L263&lt;=ref!$M$8),ref!$K$8,IF(AND(L263&gt;=ref!$L$9,L263&lt;=ref!$M$9),ref!$K$9,IF(AND(L263&gt;=ref!$L$11,L263&lt;=ref!$M$11),ref!$K$11,IF(AND(L263&gt;=ref!$L$12,L263&lt;=ref!$M$12),ref!$K$12,""))))))))))</f>
        <v/>
      </c>
      <c r="N263" s="22"/>
      <c r="O263" s="16"/>
      <c r="P263" s="22"/>
      <c r="Q263" s="27"/>
      <c r="R263" s="22"/>
      <c r="S263" s="22"/>
      <c r="T263" s="16"/>
      <c r="U263" s="16"/>
      <c r="V263" s="16"/>
      <c r="W263" s="16"/>
      <c r="X263" s="16"/>
      <c r="Y263" s="16"/>
      <c r="Z263" s="16"/>
      <c r="AA263" s="16"/>
      <c r="AB263" s="22"/>
    </row>
    <row r="264" spans="1:28" x14ac:dyDescent="0.3">
      <c r="A264" s="22"/>
      <c r="B264" s="22"/>
      <c r="C264" s="22"/>
      <c r="D264" s="22"/>
      <c r="E264" s="22"/>
      <c r="F264" s="22"/>
      <c r="G264" s="22"/>
      <c r="H264" s="22"/>
      <c r="I264" s="24" t="str">
        <f t="shared" si="8"/>
        <v/>
      </c>
      <c r="J264" s="25" t="str">
        <f t="shared" si="9"/>
        <v/>
      </c>
      <c r="K264" s="22"/>
      <c r="L264" s="22"/>
      <c r="M264" s="25" t="str">
        <f>IF(AND(L264&gt;=ref!$L$2,L264&lt;=ref!$M$2),ref!$K$2,IF(AND(L264&gt;=ref!$L$3,L264&lt;=ref!$M$3),ref!$K$3,IF(AND(L264&gt;=ref!$L$4,L264&lt;=ref!$M$4),ref!$K$4,IF(AND(L264&gt;=ref!$L$5,L264&lt;=ref!$M$5),ref!$K$5,IF(AND(L264&gt;=ref!$L$6,L264&lt;=ref!$M$6),ref!$K$6,IF(AND(L264&gt;=ref!$L$7,L264&lt;=ref!$M$7),ref!$K$7,IF(AND(L264&gt;=ref!$L$8,L264&lt;=ref!$M$8),ref!$K$8,IF(AND(L264&gt;=ref!$L$9,L264&lt;=ref!$M$9),ref!$K$9,IF(AND(L264&gt;=ref!$L$11,L264&lt;=ref!$M$11),ref!$K$11,IF(AND(L264&gt;=ref!$L$12,L264&lt;=ref!$M$12),ref!$K$12,""))))))))))</f>
        <v/>
      </c>
      <c r="N264" s="22"/>
      <c r="O264" s="16"/>
      <c r="P264" s="22"/>
      <c r="Q264" s="27"/>
      <c r="R264" s="22"/>
      <c r="S264" s="22"/>
      <c r="T264" s="16"/>
      <c r="U264" s="16"/>
      <c r="V264" s="16"/>
      <c r="W264" s="16"/>
      <c r="X264" s="16"/>
      <c r="Y264" s="16"/>
      <c r="Z264" s="16"/>
      <c r="AA264" s="16"/>
      <c r="AB264" s="22"/>
    </row>
    <row r="265" spans="1:28" x14ac:dyDescent="0.3">
      <c r="A265" s="22"/>
      <c r="B265" s="22"/>
      <c r="C265" s="22"/>
      <c r="D265" s="22"/>
      <c r="E265" s="22"/>
      <c r="F265" s="22"/>
      <c r="G265" s="22"/>
      <c r="H265" s="22"/>
      <c r="I265" s="24" t="str">
        <f t="shared" si="8"/>
        <v/>
      </c>
      <c r="J265" s="25" t="str">
        <f t="shared" si="9"/>
        <v/>
      </c>
      <c r="K265" s="22"/>
      <c r="L265" s="22"/>
      <c r="M265" s="25" t="str">
        <f>IF(AND(L265&gt;=ref!$L$2,L265&lt;=ref!$M$2),ref!$K$2,IF(AND(L265&gt;=ref!$L$3,L265&lt;=ref!$M$3),ref!$K$3,IF(AND(L265&gt;=ref!$L$4,L265&lt;=ref!$M$4),ref!$K$4,IF(AND(L265&gt;=ref!$L$5,L265&lt;=ref!$M$5),ref!$K$5,IF(AND(L265&gt;=ref!$L$6,L265&lt;=ref!$M$6),ref!$K$6,IF(AND(L265&gt;=ref!$L$7,L265&lt;=ref!$M$7),ref!$K$7,IF(AND(L265&gt;=ref!$L$8,L265&lt;=ref!$M$8),ref!$K$8,IF(AND(L265&gt;=ref!$L$9,L265&lt;=ref!$M$9),ref!$K$9,IF(AND(L265&gt;=ref!$L$11,L265&lt;=ref!$M$11),ref!$K$11,IF(AND(L265&gt;=ref!$L$12,L265&lt;=ref!$M$12),ref!$K$12,""))))))))))</f>
        <v/>
      </c>
      <c r="N265" s="22"/>
      <c r="O265" s="16"/>
      <c r="P265" s="22"/>
      <c r="Q265" s="27"/>
      <c r="R265" s="22"/>
      <c r="S265" s="22"/>
      <c r="T265" s="16"/>
      <c r="U265" s="16"/>
      <c r="V265" s="16"/>
      <c r="W265" s="16"/>
      <c r="X265" s="16"/>
      <c r="Y265" s="16"/>
      <c r="Z265" s="16"/>
      <c r="AA265" s="16"/>
      <c r="AB265" s="22"/>
    </row>
    <row r="266" spans="1:28" x14ac:dyDescent="0.3">
      <c r="A266" s="22"/>
      <c r="B266" s="22"/>
      <c r="C266" s="22"/>
      <c r="D266" s="22"/>
      <c r="E266" s="22"/>
      <c r="F266" s="22"/>
      <c r="G266" s="22"/>
      <c r="H266" s="22"/>
      <c r="I266" s="24" t="str">
        <f t="shared" si="8"/>
        <v/>
      </c>
      <c r="J266" s="25" t="str">
        <f t="shared" si="9"/>
        <v/>
      </c>
      <c r="K266" s="22"/>
      <c r="L266" s="22"/>
      <c r="M266" s="25" t="str">
        <f>IF(AND(L266&gt;=ref!$L$2,L266&lt;=ref!$M$2),ref!$K$2,IF(AND(L266&gt;=ref!$L$3,L266&lt;=ref!$M$3),ref!$K$3,IF(AND(L266&gt;=ref!$L$4,L266&lt;=ref!$M$4),ref!$K$4,IF(AND(L266&gt;=ref!$L$5,L266&lt;=ref!$M$5),ref!$K$5,IF(AND(L266&gt;=ref!$L$6,L266&lt;=ref!$M$6),ref!$K$6,IF(AND(L266&gt;=ref!$L$7,L266&lt;=ref!$M$7),ref!$K$7,IF(AND(L266&gt;=ref!$L$8,L266&lt;=ref!$M$8),ref!$K$8,IF(AND(L266&gt;=ref!$L$9,L266&lt;=ref!$M$9),ref!$K$9,IF(AND(L266&gt;=ref!$L$11,L266&lt;=ref!$M$11),ref!$K$11,IF(AND(L266&gt;=ref!$L$12,L266&lt;=ref!$M$12),ref!$K$12,""))))))))))</f>
        <v/>
      </c>
      <c r="N266" s="22"/>
      <c r="O266" s="16"/>
      <c r="P266" s="22"/>
      <c r="Q266" s="27"/>
      <c r="R266" s="22"/>
      <c r="S266" s="22"/>
      <c r="T266" s="16"/>
      <c r="U266" s="16"/>
      <c r="V266" s="16"/>
      <c r="W266" s="16"/>
      <c r="X266" s="16"/>
      <c r="Y266" s="16"/>
      <c r="Z266" s="16"/>
      <c r="AA266" s="16"/>
      <c r="AB266" s="22"/>
    </row>
    <row r="267" spans="1:28" x14ac:dyDescent="0.3">
      <c r="A267" s="22"/>
      <c r="B267" s="22"/>
      <c r="C267" s="22"/>
      <c r="D267" s="22"/>
      <c r="E267" s="22"/>
      <c r="F267" s="22"/>
      <c r="G267" s="22"/>
      <c r="H267" s="22"/>
      <c r="I267" s="24" t="str">
        <f t="shared" si="8"/>
        <v/>
      </c>
      <c r="J267" s="25" t="str">
        <f t="shared" si="9"/>
        <v/>
      </c>
      <c r="K267" s="22"/>
      <c r="L267" s="22"/>
      <c r="M267" s="25" t="str">
        <f>IF(AND(L267&gt;=ref!$L$2,L267&lt;=ref!$M$2),ref!$K$2,IF(AND(L267&gt;=ref!$L$3,L267&lt;=ref!$M$3),ref!$K$3,IF(AND(L267&gt;=ref!$L$4,L267&lt;=ref!$M$4),ref!$K$4,IF(AND(L267&gt;=ref!$L$5,L267&lt;=ref!$M$5),ref!$K$5,IF(AND(L267&gt;=ref!$L$6,L267&lt;=ref!$M$6),ref!$K$6,IF(AND(L267&gt;=ref!$L$7,L267&lt;=ref!$M$7),ref!$K$7,IF(AND(L267&gt;=ref!$L$8,L267&lt;=ref!$M$8),ref!$K$8,IF(AND(L267&gt;=ref!$L$9,L267&lt;=ref!$M$9),ref!$K$9,IF(AND(L267&gt;=ref!$L$11,L267&lt;=ref!$M$11),ref!$K$11,IF(AND(L267&gt;=ref!$L$12,L267&lt;=ref!$M$12),ref!$K$12,""))))))))))</f>
        <v/>
      </c>
      <c r="N267" s="22"/>
      <c r="O267" s="16"/>
      <c r="P267" s="22"/>
      <c r="Q267" s="27"/>
      <c r="R267" s="22"/>
      <c r="S267" s="22"/>
      <c r="T267" s="16"/>
      <c r="U267" s="16"/>
      <c r="V267" s="16"/>
      <c r="W267" s="16"/>
      <c r="X267" s="16"/>
      <c r="Y267" s="16"/>
      <c r="Z267" s="16"/>
      <c r="AA267" s="16"/>
      <c r="AB267" s="22"/>
    </row>
    <row r="268" spans="1:28" x14ac:dyDescent="0.3">
      <c r="A268" s="22"/>
      <c r="B268" s="22"/>
      <c r="C268" s="22"/>
      <c r="D268" s="22"/>
      <c r="E268" s="22"/>
      <c r="F268" s="22"/>
      <c r="G268" s="22"/>
      <c r="H268" s="22"/>
      <c r="I268" s="24" t="str">
        <f t="shared" si="8"/>
        <v/>
      </c>
      <c r="J268" s="25" t="str">
        <f t="shared" si="9"/>
        <v/>
      </c>
      <c r="K268" s="22"/>
      <c r="L268" s="22"/>
      <c r="M268" s="25" t="str">
        <f>IF(AND(L268&gt;=ref!$L$2,L268&lt;=ref!$M$2),ref!$K$2,IF(AND(L268&gt;=ref!$L$3,L268&lt;=ref!$M$3),ref!$K$3,IF(AND(L268&gt;=ref!$L$4,L268&lt;=ref!$M$4),ref!$K$4,IF(AND(L268&gt;=ref!$L$5,L268&lt;=ref!$M$5),ref!$K$5,IF(AND(L268&gt;=ref!$L$6,L268&lt;=ref!$M$6),ref!$K$6,IF(AND(L268&gt;=ref!$L$7,L268&lt;=ref!$M$7),ref!$K$7,IF(AND(L268&gt;=ref!$L$8,L268&lt;=ref!$M$8),ref!$K$8,IF(AND(L268&gt;=ref!$L$9,L268&lt;=ref!$M$9),ref!$K$9,IF(AND(L268&gt;=ref!$L$11,L268&lt;=ref!$M$11),ref!$K$11,IF(AND(L268&gt;=ref!$L$12,L268&lt;=ref!$M$12),ref!$K$12,""))))))))))</f>
        <v/>
      </c>
      <c r="N268" s="22"/>
      <c r="O268" s="16"/>
      <c r="P268" s="22"/>
      <c r="Q268" s="27"/>
      <c r="R268" s="22"/>
      <c r="S268" s="22"/>
      <c r="T268" s="16"/>
      <c r="U268" s="16"/>
      <c r="V268" s="16"/>
      <c r="W268" s="16"/>
      <c r="X268" s="16"/>
      <c r="Y268" s="16"/>
      <c r="Z268" s="16"/>
      <c r="AA268" s="16"/>
      <c r="AB268" s="22"/>
    </row>
    <row r="269" spans="1:28" x14ac:dyDescent="0.3">
      <c r="A269" s="22"/>
      <c r="B269" s="22"/>
      <c r="C269" s="22"/>
      <c r="D269" s="22"/>
      <c r="E269" s="22"/>
      <c r="F269" s="22"/>
      <c r="G269" s="22"/>
      <c r="H269" s="22"/>
      <c r="I269" s="24" t="str">
        <f t="shared" si="8"/>
        <v/>
      </c>
      <c r="J269" s="25" t="str">
        <f t="shared" si="9"/>
        <v/>
      </c>
      <c r="K269" s="22"/>
      <c r="L269" s="22"/>
      <c r="M269" s="25" t="str">
        <f>IF(AND(L269&gt;=ref!$L$2,L269&lt;=ref!$M$2),ref!$K$2,IF(AND(L269&gt;=ref!$L$3,L269&lt;=ref!$M$3),ref!$K$3,IF(AND(L269&gt;=ref!$L$4,L269&lt;=ref!$M$4),ref!$K$4,IF(AND(L269&gt;=ref!$L$5,L269&lt;=ref!$M$5),ref!$K$5,IF(AND(L269&gt;=ref!$L$6,L269&lt;=ref!$M$6),ref!$K$6,IF(AND(L269&gt;=ref!$L$7,L269&lt;=ref!$M$7),ref!$K$7,IF(AND(L269&gt;=ref!$L$8,L269&lt;=ref!$M$8),ref!$K$8,IF(AND(L269&gt;=ref!$L$9,L269&lt;=ref!$M$9),ref!$K$9,IF(AND(L269&gt;=ref!$L$11,L269&lt;=ref!$M$11),ref!$K$11,IF(AND(L269&gt;=ref!$L$12,L269&lt;=ref!$M$12),ref!$K$12,""))))))))))</f>
        <v/>
      </c>
      <c r="N269" s="22"/>
      <c r="O269" s="16"/>
      <c r="P269" s="22"/>
      <c r="Q269" s="27"/>
      <c r="R269" s="22"/>
      <c r="S269" s="22"/>
      <c r="T269" s="16"/>
      <c r="U269" s="16"/>
      <c r="V269" s="16"/>
      <c r="W269" s="16"/>
      <c r="X269" s="16"/>
      <c r="Y269" s="16"/>
      <c r="Z269" s="16"/>
      <c r="AA269" s="16"/>
      <c r="AB269" s="22"/>
    </row>
    <row r="270" spans="1:28" x14ac:dyDescent="0.3">
      <c r="A270" s="22"/>
      <c r="B270" s="22"/>
      <c r="C270" s="22"/>
      <c r="D270" s="22"/>
      <c r="E270" s="22"/>
      <c r="F270" s="22"/>
      <c r="G270" s="22"/>
      <c r="H270" s="22"/>
      <c r="I270" s="24" t="str">
        <f t="shared" si="8"/>
        <v/>
      </c>
      <c r="J270" s="25" t="str">
        <f t="shared" si="9"/>
        <v/>
      </c>
      <c r="K270" s="22"/>
      <c r="L270" s="22"/>
      <c r="M270" s="25" t="str">
        <f>IF(AND(L270&gt;=ref!$L$2,L270&lt;=ref!$M$2),ref!$K$2,IF(AND(L270&gt;=ref!$L$3,L270&lt;=ref!$M$3),ref!$K$3,IF(AND(L270&gt;=ref!$L$4,L270&lt;=ref!$M$4),ref!$K$4,IF(AND(L270&gt;=ref!$L$5,L270&lt;=ref!$M$5),ref!$K$5,IF(AND(L270&gt;=ref!$L$6,L270&lt;=ref!$M$6),ref!$K$6,IF(AND(L270&gt;=ref!$L$7,L270&lt;=ref!$M$7),ref!$K$7,IF(AND(L270&gt;=ref!$L$8,L270&lt;=ref!$M$8),ref!$K$8,IF(AND(L270&gt;=ref!$L$9,L270&lt;=ref!$M$9),ref!$K$9,IF(AND(L270&gt;=ref!$L$11,L270&lt;=ref!$M$11),ref!$K$11,IF(AND(L270&gt;=ref!$L$12,L270&lt;=ref!$M$12),ref!$K$12,""))))))))))</f>
        <v/>
      </c>
      <c r="N270" s="22"/>
      <c r="O270" s="16"/>
      <c r="P270" s="22"/>
      <c r="Q270" s="27"/>
      <c r="R270" s="22"/>
      <c r="S270" s="22"/>
      <c r="T270" s="16"/>
      <c r="U270" s="16"/>
      <c r="V270" s="16"/>
      <c r="W270" s="16"/>
      <c r="X270" s="16"/>
      <c r="Y270" s="16"/>
      <c r="Z270" s="16"/>
      <c r="AA270" s="16"/>
      <c r="AB270" s="22"/>
    </row>
    <row r="271" spans="1:28" x14ac:dyDescent="0.3">
      <c r="A271" s="22"/>
      <c r="B271" s="22"/>
      <c r="C271" s="22"/>
      <c r="D271" s="22"/>
      <c r="E271" s="22"/>
      <c r="F271" s="22"/>
      <c r="G271" s="22"/>
      <c r="H271" s="22"/>
      <c r="I271" s="24" t="str">
        <f t="shared" si="8"/>
        <v/>
      </c>
      <c r="J271" s="25" t="str">
        <f t="shared" si="9"/>
        <v/>
      </c>
      <c r="K271" s="22"/>
      <c r="L271" s="22"/>
      <c r="M271" s="25" t="str">
        <f>IF(AND(L271&gt;=ref!$L$2,L271&lt;=ref!$M$2),ref!$K$2,IF(AND(L271&gt;=ref!$L$3,L271&lt;=ref!$M$3),ref!$K$3,IF(AND(L271&gt;=ref!$L$4,L271&lt;=ref!$M$4),ref!$K$4,IF(AND(L271&gt;=ref!$L$5,L271&lt;=ref!$M$5),ref!$K$5,IF(AND(L271&gt;=ref!$L$6,L271&lt;=ref!$M$6),ref!$K$6,IF(AND(L271&gt;=ref!$L$7,L271&lt;=ref!$M$7),ref!$K$7,IF(AND(L271&gt;=ref!$L$8,L271&lt;=ref!$M$8),ref!$K$8,IF(AND(L271&gt;=ref!$L$9,L271&lt;=ref!$M$9),ref!$K$9,IF(AND(L271&gt;=ref!$L$11,L271&lt;=ref!$M$11),ref!$K$11,IF(AND(L271&gt;=ref!$L$12,L271&lt;=ref!$M$12),ref!$K$12,""))))))))))</f>
        <v/>
      </c>
      <c r="N271" s="22"/>
      <c r="O271" s="16"/>
      <c r="P271" s="22"/>
      <c r="Q271" s="27"/>
      <c r="R271" s="22"/>
      <c r="S271" s="22"/>
      <c r="T271" s="16"/>
      <c r="U271" s="16"/>
      <c r="V271" s="16"/>
      <c r="W271" s="16"/>
      <c r="X271" s="16"/>
      <c r="Y271" s="16"/>
      <c r="Z271" s="16"/>
      <c r="AA271" s="16"/>
      <c r="AB271" s="22"/>
    </row>
    <row r="272" spans="1:28" x14ac:dyDescent="0.3">
      <c r="A272" s="22"/>
      <c r="B272" s="22"/>
      <c r="C272" s="22"/>
      <c r="D272" s="22"/>
      <c r="E272" s="22"/>
      <c r="F272" s="22"/>
      <c r="G272" s="22"/>
      <c r="H272" s="22"/>
      <c r="I272" s="24" t="str">
        <f t="shared" si="8"/>
        <v/>
      </c>
      <c r="J272" s="25" t="str">
        <f t="shared" si="9"/>
        <v/>
      </c>
      <c r="K272" s="22"/>
      <c r="L272" s="22"/>
      <c r="M272" s="25" t="str">
        <f>IF(AND(L272&gt;=ref!$L$2,L272&lt;=ref!$M$2),ref!$K$2,IF(AND(L272&gt;=ref!$L$3,L272&lt;=ref!$M$3),ref!$K$3,IF(AND(L272&gt;=ref!$L$4,L272&lt;=ref!$M$4),ref!$K$4,IF(AND(L272&gt;=ref!$L$5,L272&lt;=ref!$M$5),ref!$K$5,IF(AND(L272&gt;=ref!$L$6,L272&lt;=ref!$M$6),ref!$K$6,IF(AND(L272&gt;=ref!$L$7,L272&lt;=ref!$M$7),ref!$K$7,IF(AND(L272&gt;=ref!$L$8,L272&lt;=ref!$M$8),ref!$K$8,IF(AND(L272&gt;=ref!$L$9,L272&lt;=ref!$M$9),ref!$K$9,IF(AND(L272&gt;=ref!$L$11,L272&lt;=ref!$M$11),ref!$K$11,IF(AND(L272&gt;=ref!$L$12,L272&lt;=ref!$M$12),ref!$K$12,""))))))))))</f>
        <v/>
      </c>
      <c r="N272" s="22"/>
      <c r="O272" s="16"/>
      <c r="P272" s="22"/>
      <c r="Q272" s="27"/>
      <c r="R272" s="22"/>
      <c r="S272" s="22"/>
      <c r="T272" s="16"/>
      <c r="U272" s="16"/>
      <c r="V272" s="16"/>
      <c r="W272" s="16"/>
      <c r="X272" s="16"/>
      <c r="Y272" s="16"/>
      <c r="Z272" s="16"/>
      <c r="AA272" s="16"/>
      <c r="AB272" s="22"/>
    </row>
    <row r="273" spans="1:28" x14ac:dyDescent="0.3">
      <c r="A273" s="22"/>
      <c r="B273" s="22"/>
      <c r="C273" s="22"/>
      <c r="D273" s="22"/>
      <c r="E273" s="22"/>
      <c r="F273" s="22"/>
      <c r="G273" s="22"/>
      <c r="H273" s="22"/>
      <c r="I273" s="24" t="str">
        <f t="shared" si="8"/>
        <v/>
      </c>
      <c r="J273" s="25" t="str">
        <f t="shared" si="9"/>
        <v/>
      </c>
      <c r="K273" s="22"/>
      <c r="L273" s="22"/>
      <c r="M273" s="25" t="str">
        <f>IF(AND(L273&gt;=ref!$L$2,L273&lt;=ref!$M$2),ref!$K$2,IF(AND(L273&gt;=ref!$L$3,L273&lt;=ref!$M$3),ref!$K$3,IF(AND(L273&gt;=ref!$L$4,L273&lt;=ref!$M$4),ref!$K$4,IF(AND(L273&gt;=ref!$L$5,L273&lt;=ref!$M$5),ref!$K$5,IF(AND(L273&gt;=ref!$L$6,L273&lt;=ref!$M$6),ref!$K$6,IF(AND(L273&gt;=ref!$L$7,L273&lt;=ref!$M$7),ref!$K$7,IF(AND(L273&gt;=ref!$L$8,L273&lt;=ref!$M$8),ref!$K$8,IF(AND(L273&gt;=ref!$L$9,L273&lt;=ref!$M$9),ref!$K$9,IF(AND(L273&gt;=ref!$L$11,L273&lt;=ref!$M$11),ref!$K$11,IF(AND(L273&gt;=ref!$L$12,L273&lt;=ref!$M$12),ref!$K$12,""))))))))))</f>
        <v/>
      </c>
      <c r="N273" s="22"/>
      <c r="O273" s="16"/>
      <c r="P273" s="22"/>
      <c r="Q273" s="27"/>
      <c r="R273" s="22"/>
      <c r="S273" s="22"/>
      <c r="T273" s="16"/>
      <c r="U273" s="16"/>
      <c r="V273" s="16"/>
      <c r="W273" s="16"/>
      <c r="X273" s="16"/>
      <c r="Y273" s="16"/>
      <c r="Z273" s="16"/>
      <c r="AA273" s="16"/>
      <c r="AB273" s="22"/>
    </row>
    <row r="274" spans="1:28" x14ac:dyDescent="0.3">
      <c r="A274" s="22"/>
      <c r="B274" s="22"/>
      <c r="C274" s="22"/>
      <c r="D274" s="22"/>
      <c r="E274" s="22"/>
      <c r="F274" s="22"/>
      <c r="G274" s="22"/>
      <c r="H274" s="22"/>
      <c r="I274" s="24" t="str">
        <f t="shared" si="8"/>
        <v/>
      </c>
      <c r="J274" s="25" t="str">
        <f t="shared" si="9"/>
        <v/>
      </c>
      <c r="K274" s="22"/>
      <c r="L274" s="22"/>
      <c r="M274" s="25" t="str">
        <f>IF(AND(L274&gt;=ref!$L$2,L274&lt;=ref!$M$2),ref!$K$2,IF(AND(L274&gt;=ref!$L$3,L274&lt;=ref!$M$3),ref!$K$3,IF(AND(L274&gt;=ref!$L$4,L274&lt;=ref!$M$4),ref!$K$4,IF(AND(L274&gt;=ref!$L$5,L274&lt;=ref!$M$5),ref!$K$5,IF(AND(L274&gt;=ref!$L$6,L274&lt;=ref!$M$6),ref!$K$6,IF(AND(L274&gt;=ref!$L$7,L274&lt;=ref!$M$7),ref!$K$7,IF(AND(L274&gt;=ref!$L$8,L274&lt;=ref!$M$8),ref!$K$8,IF(AND(L274&gt;=ref!$L$9,L274&lt;=ref!$M$9),ref!$K$9,IF(AND(L274&gt;=ref!$L$11,L274&lt;=ref!$M$11),ref!$K$11,IF(AND(L274&gt;=ref!$L$12,L274&lt;=ref!$M$12),ref!$K$12,""))))))))))</f>
        <v/>
      </c>
      <c r="N274" s="22"/>
      <c r="O274" s="16"/>
      <c r="P274" s="22"/>
      <c r="Q274" s="27"/>
      <c r="R274" s="22"/>
      <c r="S274" s="22"/>
      <c r="T274" s="16"/>
      <c r="U274" s="16"/>
      <c r="V274" s="16"/>
      <c r="W274" s="16"/>
      <c r="X274" s="16"/>
      <c r="Y274" s="16"/>
      <c r="Z274" s="16"/>
      <c r="AA274" s="16"/>
      <c r="AB274" s="22"/>
    </row>
    <row r="275" spans="1:28" x14ac:dyDescent="0.3">
      <c r="A275" s="22"/>
      <c r="B275" s="22"/>
      <c r="C275" s="22"/>
      <c r="D275" s="22"/>
      <c r="E275" s="22"/>
      <c r="F275" s="22"/>
      <c r="G275" s="22"/>
      <c r="H275" s="22"/>
      <c r="I275" s="24" t="str">
        <f t="shared" si="8"/>
        <v/>
      </c>
      <c r="J275" s="25" t="str">
        <f t="shared" si="9"/>
        <v/>
      </c>
      <c r="K275" s="22"/>
      <c r="L275" s="22"/>
      <c r="M275" s="25" t="str">
        <f>IF(AND(L275&gt;=ref!$L$2,L275&lt;=ref!$M$2),ref!$K$2,IF(AND(L275&gt;=ref!$L$3,L275&lt;=ref!$M$3),ref!$K$3,IF(AND(L275&gt;=ref!$L$4,L275&lt;=ref!$M$4),ref!$K$4,IF(AND(L275&gt;=ref!$L$5,L275&lt;=ref!$M$5),ref!$K$5,IF(AND(L275&gt;=ref!$L$6,L275&lt;=ref!$M$6),ref!$K$6,IF(AND(L275&gt;=ref!$L$7,L275&lt;=ref!$M$7),ref!$K$7,IF(AND(L275&gt;=ref!$L$8,L275&lt;=ref!$M$8),ref!$K$8,IF(AND(L275&gt;=ref!$L$9,L275&lt;=ref!$M$9),ref!$K$9,IF(AND(L275&gt;=ref!$L$11,L275&lt;=ref!$M$11),ref!$K$11,IF(AND(L275&gt;=ref!$L$12,L275&lt;=ref!$M$12),ref!$K$12,""))))))))))</f>
        <v/>
      </c>
      <c r="N275" s="22"/>
      <c r="O275" s="16"/>
      <c r="P275" s="22"/>
      <c r="Q275" s="27"/>
      <c r="R275" s="22"/>
      <c r="S275" s="22"/>
      <c r="T275" s="16"/>
      <c r="U275" s="16"/>
      <c r="V275" s="16"/>
      <c r="W275" s="16"/>
      <c r="X275" s="16"/>
      <c r="Y275" s="16"/>
      <c r="Z275" s="16"/>
      <c r="AA275" s="16"/>
      <c r="AB275" s="22"/>
    </row>
    <row r="276" spans="1:28" x14ac:dyDescent="0.3">
      <c r="A276" s="22"/>
      <c r="B276" s="22"/>
      <c r="C276" s="22"/>
      <c r="D276" s="22"/>
      <c r="E276" s="22"/>
      <c r="F276" s="22"/>
      <c r="G276" s="22"/>
      <c r="H276" s="22"/>
      <c r="I276" s="24" t="str">
        <f t="shared" si="8"/>
        <v/>
      </c>
      <c r="J276" s="25" t="str">
        <f t="shared" si="9"/>
        <v/>
      </c>
      <c r="K276" s="22"/>
      <c r="L276" s="22"/>
      <c r="M276" s="25" t="str">
        <f>IF(AND(L276&gt;=ref!$L$2,L276&lt;=ref!$M$2),ref!$K$2,IF(AND(L276&gt;=ref!$L$3,L276&lt;=ref!$M$3),ref!$K$3,IF(AND(L276&gt;=ref!$L$4,L276&lt;=ref!$M$4),ref!$K$4,IF(AND(L276&gt;=ref!$L$5,L276&lt;=ref!$M$5),ref!$K$5,IF(AND(L276&gt;=ref!$L$6,L276&lt;=ref!$M$6),ref!$K$6,IF(AND(L276&gt;=ref!$L$7,L276&lt;=ref!$M$7),ref!$K$7,IF(AND(L276&gt;=ref!$L$8,L276&lt;=ref!$M$8),ref!$K$8,IF(AND(L276&gt;=ref!$L$9,L276&lt;=ref!$M$9),ref!$K$9,IF(AND(L276&gt;=ref!$L$11,L276&lt;=ref!$M$11),ref!$K$11,IF(AND(L276&gt;=ref!$L$12,L276&lt;=ref!$M$12),ref!$K$12,""))))))))))</f>
        <v/>
      </c>
      <c r="N276" s="22"/>
      <c r="O276" s="16"/>
      <c r="P276" s="22"/>
      <c r="Q276" s="27"/>
      <c r="R276" s="22"/>
      <c r="S276" s="22"/>
      <c r="T276" s="16"/>
      <c r="U276" s="16"/>
      <c r="V276" s="16"/>
      <c r="W276" s="16"/>
      <c r="X276" s="16"/>
      <c r="Y276" s="16"/>
      <c r="Z276" s="16"/>
      <c r="AA276" s="16"/>
      <c r="AB276" s="22"/>
    </row>
    <row r="277" spans="1:28" x14ac:dyDescent="0.3">
      <c r="A277" s="22"/>
      <c r="B277" s="22"/>
      <c r="C277" s="22"/>
      <c r="D277" s="22"/>
      <c r="E277" s="22"/>
      <c r="F277" s="22"/>
      <c r="G277" s="22"/>
      <c r="H277" s="22"/>
      <c r="I277" s="24" t="str">
        <f t="shared" si="8"/>
        <v/>
      </c>
      <c r="J277" s="25" t="str">
        <f t="shared" si="9"/>
        <v/>
      </c>
      <c r="K277" s="22"/>
      <c r="L277" s="22"/>
      <c r="M277" s="25" t="str">
        <f>IF(AND(L277&gt;=ref!$L$2,L277&lt;=ref!$M$2),ref!$K$2,IF(AND(L277&gt;=ref!$L$3,L277&lt;=ref!$M$3),ref!$K$3,IF(AND(L277&gt;=ref!$L$4,L277&lt;=ref!$M$4),ref!$K$4,IF(AND(L277&gt;=ref!$L$5,L277&lt;=ref!$M$5),ref!$K$5,IF(AND(L277&gt;=ref!$L$6,L277&lt;=ref!$M$6),ref!$K$6,IF(AND(L277&gt;=ref!$L$7,L277&lt;=ref!$M$7),ref!$K$7,IF(AND(L277&gt;=ref!$L$8,L277&lt;=ref!$M$8),ref!$K$8,IF(AND(L277&gt;=ref!$L$9,L277&lt;=ref!$M$9),ref!$K$9,IF(AND(L277&gt;=ref!$L$11,L277&lt;=ref!$M$11),ref!$K$11,IF(AND(L277&gt;=ref!$L$12,L277&lt;=ref!$M$12),ref!$K$12,""))))))))))</f>
        <v/>
      </c>
      <c r="N277" s="22"/>
      <c r="O277" s="16"/>
      <c r="P277" s="22"/>
      <c r="Q277" s="27"/>
      <c r="R277" s="22"/>
      <c r="S277" s="22"/>
      <c r="T277" s="16"/>
      <c r="U277" s="16"/>
      <c r="V277" s="16"/>
      <c r="W277" s="16"/>
      <c r="X277" s="16"/>
      <c r="Y277" s="16"/>
      <c r="Z277" s="16"/>
      <c r="AA277" s="16"/>
      <c r="AB277" s="22"/>
    </row>
    <row r="278" spans="1:28" x14ac:dyDescent="0.3">
      <c r="A278" s="22"/>
      <c r="B278" s="22"/>
      <c r="C278" s="22"/>
      <c r="D278" s="22"/>
      <c r="E278" s="22"/>
      <c r="F278" s="22"/>
      <c r="G278" s="22"/>
      <c r="H278" s="22"/>
      <c r="I278" s="24" t="str">
        <f t="shared" si="8"/>
        <v/>
      </c>
      <c r="J278" s="25" t="str">
        <f t="shared" si="9"/>
        <v/>
      </c>
      <c r="K278" s="22"/>
      <c r="L278" s="22"/>
      <c r="M278" s="25" t="str">
        <f>IF(AND(L278&gt;=ref!$L$2,L278&lt;=ref!$M$2),ref!$K$2,IF(AND(L278&gt;=ref!$L$3,L278&lt;=ref!$M$3),ref!$K$3,IF(AND(L278&gt;=ref!$L$4,L278&lt;=ref!$M$4),ref!$K$4,IF(AND(L278&gt;=ref!$L$5,L278&lt;=ref!$M$5),ref!$K$5,IF(AND(L278&gt;=ref!$L$6,L278&lt;=ref!$M$6),ref!$K$6,IF(AND(L278&gt;=ref!$L$7,L278&lt;=ref!$M$7),ref!$K$7,IF(AND(L278&gt;=ref!$L$8,L278&lt;=ref!$M$8),ref!$K$8,IF(AND(L278&gt;=ref!$L$9,L278&lt;=ref!$M$9),ref!$K$9,IF(AND(L278&gt;=ref!$L$11,L278&lt;=ref!$M$11),ref!$K$11,IF(AND(L278&gt;=ref!$L$12,L278&lt;=ref!$M$12),ref!$K$12,""))))))))))</f>
        <v/>
      </c>
      <c r="N278" s="22"/>
      <c r="O278" s="16"/>
      <c r="P278" s="22"/>
      <c r="Q278" s="27"/>
      <c r="R278" s="22"/>
      <c r="S278" s="22"/>
      <c r="T278" s="16"/>
      <c r="U278" s="16"/>
      <c r="V278" s="16"/>
      <c r="W278" s="16"/>
      <c r="X278" s="16"/>
      <c r="Y278" s="16"/>
      <c r="Z278" s="16"/>
      <c r="AA278" s="16"/>
      <c r="AB278" s="22"/>
    </row>
    <row r="279" spans="1:28" x14ac:dyDescent="0.3">
      <c r="A279" s="22"/>
      <c r="B279" s="22"/>
      <c r="C279" s="22"/>
      <c r="D279" s="22"/>
      <c r="E279" s="22"/>
      <c r="F279" s="22"/>
      <c r="G279" s="22"/>
      <c r="H279" s="22"/>
      <c r="I279" s="24" t="str">
        <f t="shared" si="8"/>
        <v/>
      </c>
      <c r="J279" s="25" t="str">
        <f t="shared" si="9"/>
        <v/>
      </c>
      <c r="K279" s="22"/>
      <c r="L279" s="22"/>
      <c r="M279" s="25" t="str">
        <f>IF(AND(L279&gt;=ref!$L$2,L279&lt;=ref!$M$2),ref!$K$2,IF(AND(L279&gt;=ref!$L$3,L279&lt;=ref!$M$3),ref!$K$3,IF(AND(L279&gt;=ref!$L$4,L279&lt;=ref!$M$4),ref!$K$4,IF(AND(L279&gt;=ref!$L$5,L279&lt;=ref!$M$5),ref!$K$5,IF(AND(L279&gt;=ref!$L$6,L279&lt;=ref!$M$6),ref!$K$6,IF(AND(L279&gt;=ref!$L$7,L279&lt;=ref!$M$7),ref!$K$7,IF(AND(L279&gt;=ref!$L$8,L279&lt;=ref!$M$8),ref!$K$8,IF(AND(L279&gt;=ref!$L$9,L279&lt;=ref!$M$9),ref!$K$9,IF(AND(L279&gt;=ref!$L$11,L279&lt;=ref!$M$11),ref!$K$11,IF(AND(L279&gt;=ref!$L$12,L279&lt;=ref!$M$12),ref!$K$12,""))))))))))</f>
        <v/>
      </c>
      <c r="N279" s="22"/>
      <c r="O279" s="16"/>
      <c r="P279" s="22"/>
      <c r="Q279" s="27"/>
      <c r="R279" s="22"/>
      <c r="S279" s="22"/>
      <c r="T279" s="16"/>
      <c r="U279" s="16"/>
      <c r="V279" s="16"/>
      <c r="W279" s="16"/>
      <c r="X279" s="16"/>
      <c r="Y279" s="16"/>
      <c r="Z279" s="16"/>
      <c r="AA279" s="16"/>
      <c r="AB279" s="22"/>
    </row>
    <row r="280" spans="1:28" x14ac:dyDescent="0.3">
      <c r="A280" s="22"/>
      <c r="B280" s="22"/>
      <c r="C280" s="22"/>
      <c r="D280" s="22"/>
      <c r="E280" s="22"/>
      <c r="F280" s="22"/>
      <c r="G280" s="22"/>
      <c r="H280" s="22"/>
      <c r="I280" s="24" t="str">
        <f t="shared" si="8"/>
        <v/>
      </c>
      <c r="J280" s="25" t="str">
        <f t="shared" si="9"/>
        <v/>
      </c>
      <c r="K280" s="22"/>
      <c r="L280" s="22"/>
      <c r="M280" s="25" t="str">
        <f>IF(AND(L280&gt;=ref!$L$2,L280&lt;=ref!$M$2),ref!$K$2,IF(AND(L280&gt;=ref!$L$3,L280&lt;=ref!$M$3),ref!$K$3,IF(AND(L280&gt;=ref!$L$4,L280&lt;=ref!$M$4),ref!$K$4,IF(AND(L280&gt;=ref!$L$5,L280&lt;=ref!$M$5),ref!$K$5,IF(AND(L280&gt;=ref!$L$6,L280&lt;=ref!$M$6),ref!$K$6,IF(AND(L280&gt;=ref!$L$7,L280&lt;=ref!$M$7),ref!$K$7,IF(AND(L280&gt;=ref!$L$8,L280&lt;=ref!$M$8),ref!$K$8,IF(AND(L280&gt;=ref!$L$9,L280&lt;=ref!$M$9),ref!$K$9,IF(AND(L280&gt;=ref!$L$11,L280&lt;=ref!$M$11),ref!$K$11,IF(AND(L280&gt;=ref!$L$12,L280&lt;=ref!$M$12),ref!$K$12,""))))))))))</f>
        <v/>
      </c>
      <c r="N280" s="22"/>
      <c r="O280" s="16"/>
      <c r="P280" s="22"/>
      <c r="Q280" s="27"/>
      <c r="R280" s="22"/>
      <c r="S280" s="22"/>
      <c r="T280" s="16"/>
      <c r="U280" s="16"/>
      <c r="V280" s="16"/>
      <c r="W280" s="16"/>
      <c r="X280" s="16"/>
      <c r="Y280" s="16"/>
      <c r="Z280" s="16"/>
      <c r="AA280" s="16"/>
      <c r="AB280" s="22"/>
    </row>
    <row r="281" spans="1:28" x14ac:dyDescent="0.3">
      <c r="A281" s="22"/>
      <c r="B281" s="22"/>
      <c r="C281" s="22"/>
      <c r="D281" s="22"/>
      <c r="E281" s="22"/>
      <c r="F281" s="22"/>
      <c r="G281" s="22"/>
      <c r="H281" s="22"/>
      <c r="I281" s="24" t="str">
        <f t="shared" si="8"/>
        <v/>
      </c>
      <c r="J281" s="25" t="str">
        <f t="shared" si="9"/>
        <v/>
      </c>
      <c r="K281" s="22"/>
      <c r="L281" s="22"/>
      <c r="M281" s="25" t="str">
        <f>IF(AND(L281&gt;=ref!$L$2,L281&lt;=ref!$M$2),ref!$K$2,IF(AND(L281&gt;=ref!$L$3,L281&lt;=ref!$M$3),ref!$K$3,IF(AND(L281&gt;=ref!$L$4,L281&lt;=ref!$M$4),ref!$K$4,IF(AND(L281&gt;=ref!$L$5,L281&lt;=ref!$M$5),ref!$K$5,IF(AND(L281&gt;=ref!$L$6,L281&lt;=ref!$M$6),ref!$K$6,IF(AND(L281&gt;=ref!$L$7,L281&lt;=ref!$M$7),ref!$K$7,IF(AND(L281&gt;=ref!$L$8,L281&lt;=ref!$M$8),ref!$K$8,IF(AND(L281&gt;=ref!$L$9,L281&lt;=ref!$M$9),ref!$K$9,IF(AND(L281&gt;=ref!$L$11,L281&lt;=ref!$M$11),ref!$K$11,IF(AND(L281&gt;=ref!$L$12,L281&lt;=ref!$M$12),ref!$K$12,""))))))))))</f>
        <v/>
      </c>
      <c r="N281" s="22"/>
      <c r="O281" s="16"/>
      <c r="P281" s="22"/>
      <c r="Q281" s="27"/>
      <c r="R281" s="22"/>
      <c r="S281" s="22"/>
      <c r="T281" s="16"/>
      <c r="U281" s="16"/>
      <c r="V281" s="16"/>
      <c r="W281" s="16"/>
      <c r="X281" s="16"/>
      <c r="Y281" s="16"/>
      <c r="Z281" s="16"/>
      <c r="AA281" s="16"/>
      <c r="AB281" s="22"/>
    </row>
    <row r="282" spans="1:28" x14ac:dyDescent="0.3">
      <c r="A282" s="22"/>
      <c r="B282" s="22"/>
      <c r="C282" s="22"/>
      <c r="D282" s="22"/>
      <c r="E282" s="22"/>
      <c r="F282" s="22"/>
      <c r="G282" s="22"/>
      <c r="H282" s="22"/>
      <c r="I282" s="24" t="str">
        <f t="shared" si="8"/>
        <v/>
      </c>
      <c r="J282" s="25" t="str">
        <f t="shared" si="9"/>
        <v/>
      </c>
      <c r="K282" s="22"/>
      <c r="L282" s="22"/>
      <c r="M282" s="25" t="str">
        <f>IF(AND(L282&gt;=ref!$L$2,L282&lt;=ref!$M$2),ref!$K$2,IF(AND(L282&gt;=ref!$L$3,L282&lt;=ref!$M$3),ref!$K$3,IF(AND(L282&gt;=ref!$L$4,L282&lt;=ref!$M$4),ref!$K$4,IF(AND(L282&gt;=ref!$L$5,L282&lt;=ref!$M$5),ref!$K$5,IF(AND(L282&gt;=ref!$L$6,L282&lt;=ref!$M$6),ref!$K$6,IF(AND(L282&gt;=ref!$L$7,L282&lt;=ref!$M$7),ref!$K$7,IF(AND(L282&gt;=ref!$L$8,L282&lt;=ref!$M$8),ref!$K$8,IF(AND(L282&gt;=ref!$L$9,L282&lt;=ref!$M$9),ref!$K$9,IF(AND(L282&gt;=ref!$L$11,L282&lt;=ref!$M$11),ref!$K$11,IF(AND(L282&gt;=ref!$L$12,L282&lt;=ref!$M$12),ref!$K$12,""))))))))))</f>
        <v/>
      </c>
      <c r="N282" s="22"/>
      <c r="O282" s="16"/>
      <c r="P282" s="22"/>
      <c r="Q282" s="27"/>
      <c r="R282" s="22"/>
      <c r="S282" s="22"/>
      <c r="T282" s="16"/>
      <c r="U282" s="16"/>
      <c r="V282" s="16"/>
      <c r="W282" s="16"/>
      <c r="X282" s="16"/>
      <c r="Y282" s="16"/>
      <c r="Z282" s="16"/>
      <c r="AA282" s="16"/>
      <c r="AB282" s="22"/>
    </row>
    <row r="283" spans="1:28" x14ac:dyDescent="0.3">
      <c r="A283" s="22"/>
      <c r="B283" s="22"/>
      <c r="C283" s="22"/>
      <c r="D283" s="22"/>
      <c r="E283" s="22"/>
      <c r="F283" s="22"/>
      <c r="G283" s="22"/>
      <c r="H283" s="22"/>
      <c r="I283" s="24" t="str">
        <f t="shared" si="8"/>
        <v/>
      </c>
      <c r="J283" s="25" t="str">
        <f t="shared" si="9"/>
        <v/>
      </c>
      <c r="K283" s="22"/>
      <c r="L283" s="22"/>
      <c r="M283" s="25" t="str">
        <f>IF(AND(L283&gt;=ref!$L$2,L283&lt;=ref!$M$2),ref!$K$2,IF(AND(L283&gt;=ref!$L$3,L283&lt;=ref!$M$3),ref!$K$3,IF(AND(L283&gt;=ref!$L$4,L283&lt;=ref!$M$4),ref!$K$4,IF(AND(L283&gt;=ref!$L$5,L283&lt;=ref!$M$5),ref!$K$5,IF(AND(L283&gt;=ref!$L$6,L283&lt;=ref!$M$6),ref!$K$6,IF(AND(L283&gt;=ref!$L$7,L283&lt;=ref!$M$7),ref!$K$7,IF(AND(L283&gt;=ref!$L$8,L283&lt;=ref!$M$8),ref!$K$8,IF(AND(L283&gt;=ref!$L$9,L283&lt;=ref!$M$9),ref!$K$9,IF(AND(L283&gt;=ref!$L$11,L283&lt;=ref!$M$11),ref!$K$11,IF(AND(L283&gt;=ref!$L$12,L283&lt;=ref!$M$12),ref!$K$12,""))))))))))</f>
        <v/>
      </c>
      <c r="N283" s="22"/>
      <c r="O283" s="16"/>
      <c r="P283" s="22"/>
      <c r="Q283" s="27"/>
      <c r="R283" s="22"/>
      <c r="S283" s="22"/>
      <c r="T283" s="16"/>
      <c r="U283" s="16"/>
      <c r="V283" s="16"/>
      <c r="W283" s="16"/>
      <c r="X283" s="16"/>
      <c r="Y283" s="16"/>
      <c r="Z283" s="16"/>
      <c r="AA283" s="16"/>
      <c r="AB283" s="22"/>
    </row>
    <row r="284" spans="1:28" x14ac:dyDescent="0.3">
      <c r="A284" s="22"/>
      <c r="B284" s="22"/>
      <c r="C284" s="22"/>
      <c r="D284" s="22"/>
      <c r="E284" s="22"/>
      <c r="F284" s="22"/>
      <c r="G284" s="22"/>
      <c r="H284" s="22"/>
      <c r="I284" s="24" t="str">
        <f t="shared" si="8"/>
        <v/>
      </c>
      <c r="J284" s="25" t="str">
        <f t="shared" si="9"/>
        <v/>
      </c>
      <c r="K284" s="22"/>
      <c r="L284" s="22"/>
      <c r="M284" s="25" t="str">
        <f>IF(AND(L284&gt;=ref!$L$2,L284&lt;=ref!$M$2),ref!$K$2,IF(AND(L284&gt;=ref!$L$3,L284&lt;=ref!$M$3),ref!$K$3,IF(AND(L284&gt;=ref!$L$4,L284&lt;=ref!$M$4),ref!$K$4,IF(AND(L284&gt;=ref!$L$5,L284&lt;=ref!$M$5),ref!$K$5,IF(AND(L284&gt;=ref!$L$6,L284&lt;=ref!$M$6),ref!$K$6,IF(AND(L284&gt;=ref!$L$7,L284&lt;=ref!$M$7),ref!$K$7,IF(AND(L284&gt;=ref!$L$8,L284&lt;=ref!$M$8),ref!$K$8,IF(AND(L284&gt;=ref!$L$9,L284&lt;=ref!$M$9),ref!$K$9,IF(AND(L284&gt;=ref!$L$11,L284&lt;=ref!$M$11),ref!$K$11,IF(AND(L284&gt;=ref!$L$12,L284&lt;=ref!$M$12),ref!$K$12,""))))))))))</f>
        <v/>
      </c>
      <c r="N284" s="22"/>
      <c r="O284" s="16"/>
      <c r="P284" s="22"/>
      <c r="Q284" s="27"/>
      <c r="R284" s="22"/>
      <c r="S284" s="22"/>
      <c r="T284" s="16"/>
      <c r="U284" s="16"/>
      <c r="V284" s="16"/>
      <c r="W284" s="16"/>
      <c r="X284" s="16"/>
      <c r="Y284" s="16"/>
      <c r="Z284" s="16"/>
      <c r="AA284" s="16"/>
      <c r="AB284" s="22"/>
    </row>
    <row r="285" spans="1:28" x14ac:dyDescent="0.3">
      <c r="A285" s="22"/>
      <c r="B285" s="22"/>
      <c r="C285" s="22"/>
      <c r="D285" s="22"/>
      <c r="E285" s="22"/>
      <c r="F285" s="22"/>
      <c r="G285" s="22"/>
      <c r="H285" s="22"/>
      <c r="I285" s="24" t="str">
        <f t="shared" si="8"/>
        <v/>
      </c>
      <c r="J285" s="25" t="str">
        <f t="shared" si="9"/>
        <v/>
      </c>
      <c r="K285" s="22"/>
      <c r="L285" s="22"/>
      <c r="M285" s="25" t="str">
        <f>IF(AND(L285&gt;=ref!$L$2,L285&lt;=ref!$M$2),ref!$K$2,IF(AND(L285&gt;=ref!$L$3,L285&lt;=ref!$M$3),ref!$K$3,IF(AND(L285&gt;=ref!$L$4,L285&lt;=ref!$M$4),ref!$K$4,IF(AND(L285&gt;=ref!$L$5,L285&lt;=ref!$M$5),ref!$K$5,IF(AND(L285&gt;=ref!$L$6,L285&lt;=ref!$M$6),ref!$K$6,IF(AND(L285&gt;=ref!$L$7,L285&lt;=ref!$M$7),ref!$K$7,IF(AND(L285&gt;=ref!$L$8,L285&lt;=ref!$M$8),ref!$K$8,IF(AND(L285&gt;=ref!$L$9,L285&lt;=ref!$M$9),ref!$K$9,IF(AND(L285&gt;=ref!$L$11,L285&lt;=ref!$M$11),ref!$K$11,IF(AND(L285&gt;=ref!$L$12,L285&lt;=ref!$M$12),ref!$K$12,""))))))))))</f>
        <v/>
      </c>
      <c r="N285" s="22"/>
      <c r="O285" s="16"/>
      <c r="P285" s="22"/>
      <c r="Q285" s="27"/>
      <c r="R285" s="22"/>
      <c r="S285" s="22"/>
      <c r="T285" s="16"/>
      <c r="U285" s="16"/>
      <c r="V285" s="16"/>
      <c r="W285" s="16"/>
      <c r="X285" s="16"/>
      <c r="Y285" s="16"/>
      <c r="Z285" s="16"/>
      <c r="AA285" s="16"/>
      <c r="AB285" s="22"/>
    </row>
    <row r="286" spans="1:28" x14ac:dyDescent="0.3">
      <c r="A286" s="22"/>
      <c r="B286" s="22"/>
      <c r="C286" s="22"/>
      <c r="D286" s="22"/>
      <c r="E286" s="22"/>
      <c r="F286" s="22"/>
      <c r="G286" s="22"/>
      <c r="H286" s="22"/>
      <c r="I286" s="24" t="str">
        <f t="shared" si="8"/>
        <v/>
      </c>
      <c r="J286" s="25" t="str">
        <f t="shared" si="9"/>
        <v/>
      </c>
      <c r="K286" s="22"/>
      <c r="L286" s="22"/>
      <c r="M286" s="25" t="str">
        <f>IF(AND(L286&gt;=ref!$L$2,L286&lt;=ref!$M$2),ref!$K$2,IF(AND(L286&gt;=ref!$L$3,L286&lt;=ref!$M$3),ref!$K$3,IF(AND(L286&gt;=ref!$L$4,L286&lt;=ref!$M$4),ref!$K$4,IF(AND(L286&gt;=ref!$L$5,L286&lt;=ref!$M$5),ref!$K$5,IF(AND(L286&gt;=ref!$L$6,L286&lt;=ref!$M$6),ref!$K$6,IF(AND(L286&gt;=ref!$L$7,L286&lt;=ref!$M$7),ref!$K$7,IF(AND(L286&gt;=ref!$L$8,L286&lt;=ref!$M$8),ref!$K$8,IF(AND(L286&gt;=ref!$L$9,L286&lt;=ref!$M$9),ref!$K$9,IF(AND(L286&gt;=ref!$L$11,L286&lt;=ref!$M$11),ref!$K$11,IF(AND(L286&gt;=ref!$L$12,L286&lt;=ref!$M$12),ref!$K$12,""))))))))))</f>
        <v/>
      </c>
      <c r="N286" s="22"/>
      <c r="O286" s="16"/>
      <c r="P286" s="22"/>
      <c r="Q286" s="27"/>
      <c r="R286" s="22"/>
      <c r="S286" s="22"/>
      <c r="T286" s="16"/>
      <c r="U286" s="16"/>
      <c r="V286" s="16"/>
      <c r="W286" s="16"/>
      <c r="X286" s="16"/>
      <c r="Y286" s="16"/>
      <c r="Z286" s="16"/>
      <c r="AA286" s="16"/>
      <c r="AB286" s="22"/>
    </row>
    <row r="287" spans="1:28" x14ac:dyDescent="0.3">
      <c r="A287" s="22"/>
      <c r="B287" s="22"/>
      <c r="C287" s="22"/>
      <c r="D287" s="22"/>
      <c r="E287" s="22"/>
      <c r="F287" s="22"/>
      <c r="G287" s="22"/>
      <c r="H287" s="22"/>
      <c r="I287" s="24" t="str">
        <f t="shared" si="8"/>
        <v/>
      </c>
      <c r="J287" s="25" t="str">
        <f t="shared" si="9"/>
        <v/>
      </c>
      <c r="K287" s="22"/>
      <c r="L287" s="22"/>
      <c r="M287" s="25" t="str">
        <f>IF(AND(L287&gt;=ref!$L$2,L287&lt;=ref!$M$2),ref!$K$2,IF(AND(L287&gt;=ref!$L$3,L287&lt;=ref!$M$3),ref!$K$3,IF(AND(L287&gt;=ref!$L$4,L287&lt;=ref!$M$4),ref!$K$4,IF(AND(L287&gt;=ref!$L$5,L287&lt;=ref!$M$5),ref!$K$5,IF(AND(L287&gt;=ref!$L$6,L287&lt;=ref!$M$6),ref!$K$6,IF(AND(L287&gt;=ref!$L$7,L287&lt;=ref!$M$7),ref!$K$7,IF(AND(L287&gt;=ref!$L$8,L287&lt;=ref!$M$8),ref!$K$8,IF(AND(L287&gt;=ref!$L$9,L287&lt;=ref!$M$9),ref!$K$9,IF(AND(L287&gt;=ref!$L$11,L287&lt;=ref!$M$11),ref!$K$11,IF(AND(L287&gt;=ref!$L$12,L287&lt;=ref!$M$12),ref!$K$12,""))))))))))</f>
        <v/>
      </c>
      <c r="N287" s="22"/>
      <c r="O287" s="16"/>
      <c r="P287" s="22"/>
      <c r="Q287" s="27"/>
      <c r="R287" s="22"/>
      <c r="S287" s="22"/>
      <c r="T287" s="16"/>
      <c r="U287" s="16"/>
      <c r="V287" s="16"/>
      <c r="W287" s="16"/>
      <c r="X287" s="16"/>
      <c r="Y287" s="16"/>
      <c r="Z287" s="16"/>
      <c r="AA287" s="16"/>
      <c r="AB287" s="22"/>
    </row>
    <row r="288" spans="1:28" x14ac:dyDescent="0.3">
      <c r="A288" s="22"/>
      <c r="B288" s="22"/>
      <c r="C288" s="22"/>
      <c r="D288" s="22"/>
      <c r="E288" s="22"/>
      <c r="F288" s="22"/>
      <c r="G288" s="22"/>
      <c r="H288" s="22"/>
      <c r="I288" s="24" t="str">
        <f t="shared" si="8"/>
        <v/>
      </c>
      <c r="J288" s="25" t="str">
        <f t="shared" si="9"/>
        <v/>
      </c>
      <c r="K288" s="22"/>
      <c r="L288" s="22"/>
      <c r="M288" s="25" t="str">
        <f>IF(AND(L288&gt;=ref!$L$2,L288&lt;=ref!$M$2),ref!$K$2,IF(AND(L288&gt;=ref!$L$3,L288&lt;=ref!$M$3),ref!$K$3,IF(AND(L288&gt;=ref!$L$4,L288&lt;=ref!$M$4),ref!$K$4,IF(AND(L288&gt;=ref!$L$5,L288&lt;=ref!$M$5),ref!$K$5,IF(AND(L288&gt;=ref!$L$6,L288&lt;=ref!$M$6),ref!$K$6,IF(AND(L288&gt;=ref!$L$7,L288&lt;=ref!$M$7),ref!$K$7,IF(AND(L288&gt;=ref!$L$8,L288&lt;=ref!$M$8),ref!$K$8,IF(AND(L288&gt;=ref!$L$9,L288&lt;=ref!$M$9),ref!$K$9,IF(AND(L288&gt;=ref!$L$11,L288&lt;=ref!$M$11),ref!$K$11,IF(AND(L288&gt;=ref!$L$12,L288&lt;=ref!$M$12),ref!$K$12,""))))))))))</f>
        <v/>
      </c>
      <c r="N288" s="22"/>
      <c r="O288" s="16"/>
      <c r="P288" s="22"/>
      <c r="Q288" s="27"/>
      <c r="R288" s="22"/>
      <c r="S288" s="22"/>
      <c r="T288" s="16"/>
      <c r="U288" s="16"/>
      <c r="V288" s="16"/>
      <c r="W288" s="16"/>
      <c r="X288" s="16"/>
      <c r="Y288" s="16"/>
      <c r="Z288" s="16"/>
      <c r="AA288" s="16"/>
      <c r="AB288" s="22"/>
    </row>
    <row r="289" spans="1:28" x14ac:dyDescent="0.3">
      <c r="A289" s="22"/>
      <c r="B289" s="22"/>
      <c r="C289" s="22"/>
      <c r="D289" s="22"/>
      <c r="E289" s="22"/>
      <c r="F289" s="22"/>
      <c r="G289" s="22"/>
      <c r="H289" s="22"/>
      <c r="I289" s="24" t="str">
        <f t="shared" si="8"/>
        <v/>
      </c>
      <c r="J289" s="25" t="str">
        <f t="shared" si="9"/>
        <v/>
      </c>
      <c r="K289" s="22"/>
      <c r="L289" s="22"/>
      <c r="M289" s="25" t="str">
        <f>IF(AND(L289&gt;=ref!$L$2,L289&lt;=ref!$M$2),ref!$K$2,IF(AND(L289&gt;=ref!$L$3,L289&lt;=ref!$M$3),ref!$K$3,IF(AND(L289&gt;=ref!$L$4,L289&lt;=ref!$M$4),ref!$K$4,IF(AND(L289&gt;=ref!$L$5,L289&lt;=ref!$M$5),ref!$K$5,IF(AND(L289&gt;=ref!$L$6,L289&lt;=ref!$M$6),ref!$K$6,IF(AND(L289&gt;=ref!$L$7,L289&lt;=ref!$M$7),ref!$K$7,IF(AND(L289&gt;=ref!$L$8,L289&lt;=ref!$M$8),ref!$K$8,IF(AND(L289&gt;=ref!$L$9,L289&lt;=ref!$M$9),ref!$K$9,IF(AND(L289&gt;=ref!$L$11,L289&lt;=ref!$M$11),ref!$K$11,IF(AND(L289&gt;=ref!$L$12,L289&lt;=ref!$M$12),ref!$K$12,""))))))))))</f>
        <v/>
      </c>
      <c r="N289" s="22"/>
      <c r="O289" s="16"/>
      <c r="P289" s="22"/>
      <c r="Q289" s="27"/>
      <c r="R289" s="22"/>
      <c r="S289" s="22"/>
      <c r="T289" s="16"/>
      <c r="U289" s="16"/>
      <c r="V289" s="16"/>
      <c r="W289" s="16"/>
      <c r="X289" s="16"/>
      <c r="Y289" s="16"/>
      <c r="Z289" s="16"/>
      <c r="AA289" s="16"/>
      <c r="AB289" s="22"/>
    </row>
    <row r="290" spans="1:28" x14ac:dyDescent="0.3">
      <c r="A290" s="22"/>
      <c r="B290" s="22"/>
      <c r="C290" s="22"/>
      <c r="D290" s="22"/>
      <c r="E290" s="22"/>
      <c r="F290" s="22"/>
      <c r="G290" s="22"/>
      <c r="H290" s="22"/>
      <c r="I290" s="24" t="str">
        <f t="shared" si="8"/>
        <v/>
      </c>
      <c r="J290" s="25" t="str">
        <f t="shared" si="9"/>
        <v/>
      </c>
      <c r="K290" s="22"/>
      <c r="L290" s="22"/>
      <c r="M290" s="25" t="str">
        <f>IF(AND(L290&gt;=ref!$L$2,L290&lt;=ref!$M$2),ref!$K$2,IF(AND(L290&gt;=ref!$L$3,L290&lt;=ref!$M$3),ref!$K$3,IF(AND(L290&gt;=ref!$L$4,L290&lt;=ref!$M$4),ref!$K$4,IF(AND(L290&gt;=ref!$L$5,L290&lt;=ref!$M$5),ref!$K$5,IF(AND(L290&gt;=ref!$L$6,L290&lt;=ref!$M$6),ref!$K$6,IF(AND(L290&gt;=ref!$L$7,L290&lt;=ref!$M$7),ref!$K$7,IF(AND(L290&gt;=ref!$L$8,L290&lt;=ref!$M$8),ref!$K$8,IF(AND(L290&gt;=ref!$L$9,L290&lt;=ref!$M$9),ref!$K$9,IF(AND(L290&gt;=ref!$L$11,L290&lt;=ref!$M$11),ref!$K$11,IF(AND(L290&gt;=ref!$L$12,L290&lt;=ref!$M$12),ref!$K$12,""))))))))))</f>
        <v/>
      </c>
      <c r="N290" s="22"/>
      <c r="O290" s="16"/>
      <c r="P290" s="22"/>
      <c r="Q290" s="27"/>
      <c r="R290" s="22"/>
      <c r="S290" s="22"/>
      <c r="T290" s="16"/>
      <c r="U290" s="16"/>
      <c r="V290" s="16"/>
      <c r="W290" s="16"/>
      <c r="X290" s="16"/>
      <c r="Y290" s="16"/>
      <c r="Z290" s="16"/>
      <c r="AA290" s="16"/>
      <c r="AB290" s="22"/>
    </row>
    <row r="291" spans="1:28" x14ac:dyDescent="0.3">
      <c r="A291" s="22"/>
      <c r="B291" s="22"/>
      <c r="C291" s="22"/>
      <c r="D291" s="22"/>
      <c r="E291" s="22"/>
      <c r="F291" s="22"/>
      <c r="G291" s="22"/>
      <c r="H291" s="22"/>
      <c r="I291" s="24" t="str">
        <f t="shared" si="8"/>
        <v/>
      </c>
      <c r="J291" s="25" t="str">
        <f t="shared" si="9"/>
        <v/>
      </c>
      <c r="K291" s="22"/>
      <c r="L291" s="22"/>
      <c r="M291" s="25" t="str">
        <f>IF(AND(L291&gt;=ref!$L$2,L291&lt;=ref!$M$2),ref!$K$2,IF(AND(L291&gt;=ref!$L$3,L291&lt;=ref!$M$3),ref!$K$3,IF(AND(L291&gt;=ref!$L$4,L291&lt;=ref!$M$4),ref!$K$4,IF(AND(L291&gt;=ref!$L$5,L291&lt;=ref!$M$5),ref!$K$5,IF(AND(L291&gt;=ref!$L$6,L291&lt;=ref!$M$6),ref!$K$6,IF(AND(L291&gt;=ref!$L$7,L291&lt;=ref!$M$7),ref!$K$7,IF(AND(L291&gt;=ref!$L$8,L291&lt;=ref!$M$8),ref!$K$8,IF(AND(L291&gt;=ref!$L$9,L291&lt;=ref!$M$9),ref!$K$9,IF(AND(L291&gt;=ref!$L$11,L291&lt;=ref!$M$11),ref!$K$11,IF(AND(L291&gt;=ref!$L$12,L291&lt;=ref!$M$12),ref!$K$12,""))))))))))</f>
        <v/>
      </c>
      <c r="N291" s="22"/>
      <c r="O291" s="16"/>
      <c r="P291" s="22"/>
      <c r="Q291" s="27"/>
      <c r="R291" s="22"/>
      <c r="S291" s="22"/>
      <c r="T291" s="16"/>
      <c r="U291" s="16"/>
      <c r="V291" s="16"/>
      <c r="W291" s="16"/>
      <c r="X291" s="16"/>
      <c r="Y291" s="16"/>
      <c r="Z291" s="16"/>
      <c r="AA291" s="16"/>
      <c r="AB291" s="22"/>
    </row>
    <row r="292" spans="1:28" x14ac:dyDescent="0.3">
      <c r="A292" s="22"/>
      <c r="B292" s="22"/>
      <c r="C292" s="22"/>
      <c r="D292" s="22"/>
      <c r="E292" s="22"/>
      <c r="F292" s="22"/>
      <c r="G292" s="22"/>
      <c r="H292" s="22"/>
      <c r="I292" s="24" t="str">
        <f t="shared" si="8"/>
        <v/>
      </c>
      <c r="J292" s="25" t="str">
        <f t="shared" si="9"/>
        <v/>
      </c>
      <c r="K292" s="22"/>
      <c r="L292" s="22"/>
      <c r="M292" s="25" t="str">
        <f>IF(AND(L292&gt;=ref!$L$2,L292&lt;=ref!$M$2),ref!$K$2,IF(AND(L292&gt;=ref!$L$3,L292&lt;=ref!$M$3),ref!$K$3,IF(AND(L292&gt;=ref!$L$4,L292&lt;=ref!$M$4),ref!$K$4,IF(AND(L292&gt;=ref!$L$5,L292&lt;=ref!$M$5),ref!$K$5,IF(AND(L292&gt;=ref!$L$6,L292&lt;=ref!$M$6),ref!$K$6,IF(AND(L292&gt;=ref!$L$7,L292&lt;=ref!$M$7),ref!$K$7,IF(AND(L292&gt;=ref!$L$8,L292&lt;=ref!$M$8),ref!$K$8,IF(AND(L292&gt;=ref!$L$9,L292&lt;=ref!$M$9),ref!$K$9,IF(AND(L292&gt;=ref!$L$11,L292&lt;=ref!$M$11),ref!$K$11,IF(AND(L292&gt;=ref!$L$12,L292&lt;=ref!$M$12),ref!$K$12,""))))))))))</f>
        <v/>
      </c>
      <c r="N292" s="22"/>
      <c r="O292" s="16"/>
      <c r="P292" s="22"/>
      <c r="Q292" s="27"/>
      <c r="R292" s="22"/>
      <c r="S292" s="22"/>
      <c r="T292" s="16"/>
      <c r="U292" s="16"/>
      <c r="V292" s="16"/>
      <c r="W292" s="16"/>
      <c r="X292" s="16"/>
      <c r="Y292" s="16"/>
      <c r="Z292" s="16"/>
      <c r="AA292" s="16"/>
      <c r="AB292" s="22"/>
    </row>
    <row r="293" spans="1:28" x14ac:dyDescent="0.3">
      <c r="A293" s="22"/>
      <c r="B293" s="22"/>
      <c r="C293" s="22"/>
      <c r="D293" s="22"/>
      <c r="E293" s="22"/>
      <c r="F293" s="22"/>
      <c r="G293" s="22"/>
      <c r="H293" s="22"/>
      <c r="I293" s="24" t="str">
        <f t="shared" si="8"/>
        <v/>
      </c>
      <c r="J293" s="25" t="str">
        <f t="shared" si="9"/>
        <v/>
      </c>
      <c r="K293" s="22"/>
      <c r="L293" s="22"/>
      <c r="M293" s="25" t="str">
        <f>IF(AND(L293&gt;=ref!$L$2,L293&lt;=ref!$M$2),ref!$K$2,IF(AND(L293&gt;=ref!$L$3,L293&lt;=ref!$M$3),ref!$K$3,IF(AND(L293&gt;=ref!$L$4,L293&lt;=ref!$M$4),ref!$K$4,IF(AND(L293&gt;=ref!$L$5,L293&lt;=ref!$M$5),ref!$K$5,IF(AND(L293&gt;=ref!$L$6,L293&lt;=ref!$M$6),ref!$K$6,IF(AND(L293&gt;=ref!$L$7,L293&lt;=ref!$M$7),ref!$K$7,IF(AND(L293&gt;=ref!$L$8,L293&lt;=ref!$M$8),ref!$K$8,IF(AND(L293&gt;=ref!$L$9,L293&lt;=ref!$M$9),ref!$K$9,IF(AND(L293&gt;=ref!$L$11,L293&lt;=ref!$M$11),ref!$K$11,IF(AND(L293&gt;=ref!$L$12,L293&lt;=ref!$M$12),ref!$K$12,""))))))))))</f>
        <v/>
      </c>
      <c r="N293" s="22"/>
      <c r="O293" s="16"/>
      <c r="P293" s="22"/>
      <c r="Q293" s="27"/>
      <c r="R293" s="22"/>
      <c r="S293" s="22"/>
      <c r="T293" s="16"/>
      <c r="U293" s="16"/>
      <c r="V293" s="16"/>
      <c r="W293" s="16"/>
      <c r="X293" s="16"/>
      <c r="Y293" s="16"/>
      <c r="Z293" s="16"/>
      <c r="AA293" s="16"/>
      <c r="AB293" s="22"/>
    </row>
    <row r="294" spans="1:28" x14ac:dyDescent="0.3">
      <c r="A294" s="22"/>
      <c r="B294" s="22"/>
      <c r="C294" s="22"/>
      <c r="D294" s="22"/>
      <c r="E294" s="22"/>
      <c r="F294" s="22"/>
      <c r="G294" s="22"/>
      <c r="H294" s="22"/>
      <c r="I294" s="24" t="str">
        <f t="shared" si="8"/>
        <v/>
      </c>
      <c r="J294" s="25" t="str">
        <f t="shared" si="9"/>
        <v/>
      </c>
      <c r="K294" s="22"/>
      <c r="L294" s="22"/>
      <c r="M294" s="25" t="str">
        <f>IF(AND(L294&gt;=ref!$L$2,L294&lt;=ref!$M$2),ref!$K$2,IF(AND(L294&gt;=ref!$L$3,L294&lt;=ref!$M$3),ref!$K$3,IF(AND(L294&gt;=ref!$L$4,L294&lt;=ref!$M$4),ref!$K$4,IF(AND(L294&gt;=ref!$L$5,L294&lt;=ref!$M$5),ref!$K$5,IF(AND(L294&gt;=ref!$L$6,L294&lt;=ref!$M$6),ref!$K$6,IF(AND(L294&gt;=ref!$L$7,L294&lt;=ref!$M$7),ref!$K$7,IF(AND(L294&gt;=ref!$L$8,L294&lt;=ref!$M$8),ref!$K$8,IF(AND(L294&gt;=ref!$L$9,L294&lt;=ref!$M$9),ref!$K$9,IF(AND(L294&gt;=ref!$L$11,L294&lt;=ref!$M$11),ref!$K$11,IF(AND(L294&gt;=ref!$L$12,L294&lt;=ref!$M$12),ref!$K$12,""))))))))))</f>
        <v/>
      </c>
      <c r="N294" s="22"/>
      <c r="O294" s="16"/>
      <c r="P294" s="22"/>
      <c r="Q294" s="27"/>
      <c r="R294" s="22"/>
      <c r="S294" s="22"/>
      <c r="T294" s="16"/>
      <c r="U294" s="16"/>
      <c r="V294" s="16"/>
      <c r="W294" s="16"/>
      <c r="X294" s="16"/>
      <c r="Y294" s="16"/>
      <c r="Z294" s="16"/>
      <c r="AA294" s="16"/>
      <c r="AB294" s="22"/>
    </row>
    <row r="295" spans="1:28" x14ac:dyDescent="0.3">
      <c r="A295" s="22"/>
      <c r="B295" s="22"/>
      <c r="C295" s="22"/>
      <c r="D295" s="22"/>
      <c r="E295" s="22"/>
      <c r="F295" s="22"/>
      <c r="G295" s="22"/>
      <c r="H295" s="22"/>
      <c r="I295" s="24" t="str">
        <f t="shared" si="8"/>
        <v/>
      </c>
      <c r="J295" s="25" t="str">
        <f t="shared" si="9"/>
        <v/>
      </c>
      <c r="K295" s="22"/>
      <c r="L295" s="22"/>
      <c r="M295" s="25" t="str">
        <f>IF(AND(L295&gt;=ref!$L$2,L295&lt;=ref!$M$2),ref!$K$2,IF(AND(L295&gt;=ref!$L$3,L295&lt;=ref!$M$3),ref!$K$3,IF(AND(L295&gt;=ref!$L$4,L295&lt;=ref!$M$4),ref!$K$4,IF(AND(L295&gt;=ref!$L$5,L295&lt;=ref!$M$5),ref!$K$5,IF(AND(L295&gt;=ref!$L$6,L295&lt;=ref!$M$6),ref!$K$6,IF(AND(L295&gt;=ref!$L$7,L295&lt;=ref!$M$7),ref!$K$7,IF(AND(L295&gt;=ref!$L$8,L295&lt;=ref!$M$8),ref!$K$8,IF(AND(L295&gt;=ref!$L$9,L295&lt;=ref!$M$9),ref!$K$9,IF(AND(L295&gt;=ref!$L$11,L295&lt;=ref!$M$11),ref!$K$11,IF(AND(L295&gt;=ref!$L$12,L295&lt;=ref!$M$12),ref!$K$12,""))))))))))</f>
        <v/>
      </c>
      <c r="N295" s="22"/>
      <c r="O295" s="16"/>
      <c r="P295" s="22"/>
      <c r="Q295" s="27"/>
      <c r="R295" s="22"/>
      <c r="S295" s="22"/>
      <c r="T295" s="16"/>
      <c r="U295" s="16"/>
      <c r="V295" s="16"/>
      <c r="W295" s="16"/>
      <c r="X295" s="16"/>
      <c r="Y295" s="16"/>
      <c r="Z295" s="16"/>
      <c r="AA295" s="16"/>
      <c r="AB295" s="22"/>
    </row>
    <row r="296" spans="1:28" x14ac:dyDescent="0.3">
      <c r="A296" s="22"/>
      <c r="B296" s="22"/>
      <c r="C296" s="22"/>
      <c r="D296" s="22"/>
      <c r="E296" s="22"/>
      <c r="F296" s="22"/>
      <c r="G296" s="22"/>
      <c r="H296" s="22"/>
      <c r="I296" s="24" t="str">
        <f t="shared" si="8"/>
        <v/>
      </c>
      <c r="J296" s="25" t="str">
        <f t="shared" si="9"/>
        <v/>
      </c>
      <c r="K296" s="22"/>
      <c r="L296" s="22"/>
      <c r="M296" s="25" t="str">
        <f>IF(AND(L296&gt;=ref!$L$2,L296&lt;=ref!$M$2),ref!$K$2,IF(AND(L296&gt;=ref!$L$3,L296&lt;=ref!$M$3),ref!$K$3,IF(AND(L296&gt;=ref!$L$4,L296&lt;=ref!$M$4),ref!$K$4,IF(AND(L296&gt;=ref!$L$5,L296&lt;=ref!$M$5),ref!$K$5,IF(AND(L296&gt;=ref!$L$6,L296&lt;=ref!$M$6),ref!$K$6,IF(AND(L296&gt;=ref!$L$7,L296&lt;=ref!$M$7),ref!$K$7,IF(AND(L296&gt;=ref!$L$8,L296&lt;=ref!$M$8),ref!$K$8,IF(AND(L296&gt;=ref!$L$9,L296&lt;=ref!$M$9),ref!$K$9,IF(AND(L296&gt;=ref!$L$11,L296&lt;=ref!$M$11),ref!$K$11,IF(AND(L296&gt;=ref!$L$12,L296&lt;=ref!$M$12),ref!$K$12,""))))))))))</f>
        <v/>
      </c>
      <c r="N296" s="22"/>
      <c r="O296" s="16"/>
      <c r="P296" s="22"/>
      <c r="Q296" s="27"/>
      <c r="R296" s="22"/>
      <c r="S296" s="22"/>
      <c r="T296" s="16"/>
      <c r="U296" s="16"/>
      <c r="V296" s="16"/>
      <c r="W296" s="16"/>
      <c r="X296" s="16"/>
      <c r="Y296" s="16"/>
      <c r="Z296" s="16"/>
      <c r="AA296" s="16"/>
      <c r="AB296" s="22"/>
    </row>
    <row r="297" spans="1:28" x14ac:dyDescent="0.3">
      <c r="A297" s="22"/>
      <c r="B297" s="22"/>
      <c r="C297" s="22"/>
      <c r="D297" s="22"/>
      <c r="E297" s="22"/>
      <c r="F297" s="22"/>
      <c r="G297" s="22"/>
      <c r="H297" s="22"/>
      <c r="I297" s="24" t="str">
        <f t="shared" si="8"/>
        <v/>
      </c>
      <c r="J297" s="25" t="str">
        <f t="shared" si="9"/>
        <v/>
      </c>
      <c r="K297" s="22"/>
      <c r="L297" s="22"/>
      <c r="M297" s="25" t="str">
        <f>IF(AND(L297&gt;=ref!$L$2,L297&lt;=ref!$M$2),ref!$K$2,IF(AND(L297&gt;=ref!$L$3,L297&lt;=ref!$M$3),ref!$K$3,IF(AND(L297&gt;=ref!$L$4,L297&lt;=ref!$M$4),ref!$K$4,IF(AND(L297&gt;=ref!$L$5,L297&lt;=ref!$M$5),ref!$K$5,IF(AND(L297&gt;=ref!$L$6,L297&lt;=ref!$M$6),ref!$K$6,IF(AND(L297&gt;=ref!$L$7,L297&lt;=ref!$M$7),ref!$K$7,IF(AND(L297&gt;=ref!$L$8,L297&lt;=ref!$M$8),ref!$K$8,IF(AND(L297&gt;=ref!$L$9,L297&lt;=ref!$M$9),ref!$K$9,IF(AND(L297&gt;=ref!$L$11,L297&lt;=ref!$M$11),ref!$K$11,IF(AND(L297&gt;=ref!$L$12,L297&lt;=ref!$M$12),ref!$K$12,""))))))))))</f>
        <v/>
      </c>
      <c r="N297" s="22"/>
      <c r="O297" s="16"/>
      <c r="P297" s="22"/>
      <c r="Q297" s="27"/>
      <c r="R297" s="22"/>
      <c r="S297" s="22"/>
      <c r="T297" s="16"/>
      <c r="U297" s="16"/>
      <c r="V297" s="16"/>
      <c r="W297" s="16"/>
      <c r="X297" s="16"/>
      <c r="Y297" s="16"/>
      <c r="Z297" s="16"/>
      <c r="AA297" s="16"/>
      <c r="AB297" s="22"/>
    </row>
    <row r="298" spans="1:28" x14ac:dyDescent="0.3">
      <c r="A298" s="22"/>
      <c r="B298" s="22"/>
      <c r="C298" s="22"/>
      <c r="D298" s="22"/>
      <c r="E298" s="22"/>
      <c r="F298" s="22"/>
      <c r="G298" s="22"/>
      <c r="H298" s="22"/>
      <c r="I298" s="24" t="str">
        <f t="shared" si="8"/>
        <v/>
      </c>
      <c r="J298" s="25" t="str">
        <f t="shared" si="9"/>
        <v/>
      </c>
      <c r="K298" s="22"/>
      <c r="L298" s="22"/>
      <c r="M298" s="25" t="str">
        <f>IF(AND(L298&gt;=ref!$L$2,L298&lt;=ref!$M$2),ref!$K$2,IF(AND(L298&gt;=ref!$L$3,L298&lt;=ref!$M$3),ref!$K$3,IF(AND(L298&gt;=ref!$L$4,L298&lt;=ref!$M$4),ref!$K$4,IF(AND(L298&gt;=ref!$L$5,L298&lt;=ref!$M$5),ref!$K$5,IF(AND(L298&gt;=ref!$L$6,L298&lt;=ref!$M$6),ref!$K$6,IF(AND(L298&gt;=ref!$L$7,L298&lt;=ref!$M$7),ref!$K$7,IF(AND(L298&gt;=ref!$L$8,L298&lt;=ref!$M$8),ref!$K$8,IF(AND(L298&gt;=ref!$L$9,L298&lt;=ref!$M$9),ref!$K$9,IF(AND(L298&gt;=ref!$L$11,L298&lt;=ref!$M$11),ref!$K$11,IF(AND(L298&gt;=ref!$L$12,L298&lt;=ref!$M$12),ref!$K$12,""))))))))))</f>
        <v/>
      </c>
      <c r="N298" s="22"/>
      <c r="O298" s="16"/>
      <c r="P298" s="22"/>
      <c r="Q298" s="27"/>
      <c r="R298" s="22"/>
      <c r="S298" s="22"/>
      <c r="T298" s="16"/>
      <c r="U298" s="16"/>
      <c r="V298" s="16"/>
      <c r="W298" s="16"/>
      <c r="X298" s="16"/>
      <c r="Y298" s="16"/>
      <c r="Z298" s="16"/>
      <c r="AA298" s="16"/>
      <c r="AB298" s="22"/>
    </row>
    <row r="299" spans="1:28" x14ac:dyDescent="0.3">
      <c r="A299" s="22"/>
      <c r="B299" s="22"/>
      <c r="C299" s="22"/>
      <c r="D299" s="22"/>
      <c r="E299" s="22"/>
      <c r="F299" s="22"/>
      <c r="G299" s="22"/>
      <c r="H299" s="22"/>
      <c r="I299" s="24" t="str">
        <f t="shared" si="8"/>
        <v/>
      </c>
      <c r="J299" s="25" t="str">
        <f t="shared" si="9"/>
        <v/>
      </c>
      <c r="K299" s="22"/>
      <c r="L299" s="22"/>
      <c r="M299" s="25" t="str">
        <f>IF(AND(L299&gt;=ref!$L$2,L299&lt;=ref!$M$2),ref!$K$2,IF(AND(L299&gt;=ref!$L$3,L299&lt;=ref!$M$3),ref!$K$3,IF(AND(L299&gt;=ref!$L$4,L299&lt;=ref!$M$4),ref!$K$4,IF(AND(L299&gt;=ref!$L$5,L299&lt;=ref!$M$5),ref!$K$5,IF(AND(L299&gt;=ref!$L$6,L299&lt;=ref!$M$6),ref!$K$6,IF(AND(L299&gt;=ref!$L$7,L299&lt;=ref!$M$7),ref!$K$7,IF(AND(L299&gt;=ref!$L$8,L299&lt;=ref!$M$8),ref!$K$8,IF(AND(L299&gt;=ref!$L$9,L299&lt;=ref!$M$9),ref!$K$9,IF(AND(L299&gt;=ref!$L$11,L299&lt;=ref!$M$11),ref!$K$11,IF(AND(L299&gt;=ref!$L$12,L299&lt;=ref!$M$12),ref!$K$12,""))))))))))</f>
        <v/>
      </c>
      <c r="N299" s="22"/>
      <c r="O299" s="16"/>
      <c r="P299" s="22"/>
      <c r="Q299" s="27"/>
      <c r="R299" s="22"/>
      <c r="S299" s="22"/>
      <c r="T299" s="16"/>
      <c r="U299" s="16"/>
      <c r="V299" s="16"/>
      <c r="W299" s="16"/>
      <c r="X299" s="16"/>
      <c r="Y299" s="16"/>
      <c r="Z299" s="16"/>
      <c r="AA299" s="16"/>
      <c r="AB299" s="22"/>
    </row>
    <row r="300" spans="1:28" x14ac:dyDescent="0.3">
      <c r="A300" s="22"/>
      <c r="B300" s="22"/>
      <c r="C300" s="22"/>
      <c r="D300" s="22"/>
      <c r="E300" s="22"/>
      <c r="F300" s="22"/>
      <c r="G300" s="22"/>
      <c r="H300" s="22"/>
      <c r="I300" s="24" t="str">
        <f t="shared" si="8"/>
        <v/>
      </c>
      <c r="J300" s="25" t="str">
        <f t="shared" si="9"/>
        <v/>
      </c>
      <c r="K300" s="22"/>
      <c r="L300" s="22"/>
      <c r="M300" s="25" t="str">
        <f>IF(AND(L300&gt;=ref!$L$2,L300&lt;=ref!$M$2),ref!$K$2,IF(AND(L300&gt;=ref!$L$3,L300&lt;=ref!$M$3),ref!$K$3,IF(AND(L300&gt;=ref!$L$4,L300&lt;=ref!$M$4),ref!$K$4,IF(AND(L300&gt;=ref!$L$5,L300&lt;=ref!$M$5),ref!$K$5,IF(AND(L300&gt;=ref!$L$6,L300&lt;=ref!$M$6),ref!$K$6,IF(AND(L300&gt;=ref!$L$7,L300&lt;=ref!$M$7),ref!$K$7,IF(AND(L300&gt;=ref!$L$8,L300&lt;=ref!$M$8),ref!$K$8,IF(AND(L300&gt;=ref!$L$9,L300&lt;=ref!$M$9),ref!$K$9,IF(AND(L300&gt;=ref!$L$11,L300&lt;=ref!$M$11),ref!$K$11,IF(AND(L300&gt;=ref!$L$12,L300&lt;=ref!$M$12),ref!$K$12,""))))))))))</f>
        <v/>
      </c>
      <c r="N300" s="22"/>
      <c r="O300" s="16"/>
      <c r="P300" s="22"/>
      <c r="Q300" s="27"/>
      <c r="R300" s="22"/>
      <c r="S300" s="22"/>
      <c r="T300" s="16"/>
      <c r="U300" s="16"/>
      <c r="V300" s="16"/>
      <c r="W300" s="16"/>
      <c r="X300" s="16"/>
      <c r="Y300" s="16"/>
      <c r="Z300" s="16"/>
      <c r="AA300" s="16"/>
      <c r="AB300" s="22"/>
    </row>
    <row r="301" spans="1:28" x14ac:dyDescent="0.3">
      <c r="A301" s="22"/>
      <c r="B301" s="22"/>
      <c r="C301" s="22"/>
      <c r="D301" s="22"/>
      <c r="E301" s="22"/>
      <c r="F301" s="22"/>
      <c r="G301" s="22"/>
      <c r="H301" s="22"/>
      <c r="I301" s="24" t="str">
        <f t="shared" si="8"/>
        <v/>
      </c>
      <c r="J301" s="25" t="str">
        <f t="shared" si="9"/>
        <v/>
      </c>
      <c r="K301" s="22"/>
      <c r="L301" s="22"/>
      <c r="M301" s="25" t="str">
        <f>IF(AND(L301&gt;=ref!$L$2,L301&lt;=ref!$M$2),ref!$K$2,IF(AND(L301&gt;=ref!$L$3,L301&lt;=ref!$M$3),ref!$K$3,IF(AND(L301&gt;=ref!$L$4,L301&lt;=ref!$M$4),ref!$K$4,IF(AND(L301&gt;=ref!$L$5,L301&lt;=ref!$M$5),ref!$K$5,IF(AND(L301&gt;=ref!$L$6,L301&lt;=ref!$M$6),ref!$K$6,IF(AND(L301&gt;=ref!$L$7,L301&lt;=ref!$M$7),ref!$K$7,IF(AND(L301&gt;=ref!$L$8,L301&lt;=ref!$M$8),ref!$K$8,IF(AND(L301&gt;=ref!$L$9,L301&lt;=ref!$M$9),ref!$K$9,IF(AND(L301&gt;=ref!$L$11,L301&lt;=ref!$M$11),ref!$K$11,IF(AND(L301&gt;=ref!$L$12,L301&lt;=ref!$M$12),ref!$K$12,""))))))))))</f>
        <v/>
      </c>
      <c r="N301" s="22"/>
      <c r="O301" s="16"/>
      <c r="P301" s="22"/>
      <c r="Q301" s="27"/>
      <c r="R301" s="22"/>
      <c r="S301" s="22"/>
      <c r="T301" s="16"/>
      <c r="U301" s="16"/>
      <c r="V301" s="16"/>
      <c r="W301" s="16"/>
      <c r="X301" s="16"/>
      <c r="Y301" s="16"/>
      <c r="Z301" s="16"/>
      <c r="AA301" s="16"/>
      <c r="AB301" s="22"/>
    </row>
    <row r="302" spans="1:28" x14ac:dyDescent="0.3">
      <c r="A302" s="22"/>
      <c r="B302" s="22"/>
      <c r="C302" s="22"/>
      <c r="D302" s="22"/>
      <c r="E302" s="22"/>
      <c r="F302" s="22"/>
      <c r="G302" s="22"/>
      <c r="H302" s="22"/>
      <c r="I302" s="24" t="str">
        <f t="shared" si="8"/>
        <v/>
      </c>
      <c r="J302" s="25" t="str">
        <f t="shared" si="9"/>
        <v/>
      </c>
      <c r="K302" s="22"/>
      <c r="L302" s="22"/>
      <c r="M302" s="25" t="str">
        <f>IF(AND(L302&gt;=ref!$L$2,L302&lt;=ref!$M$2),ref!$K$2,IF(AND(L302&gt;=ref!$L$3,L302&lt;=ref!$M$3),ref!$K$3,IF(AND(L302&gt;=ref!$L$4,L302&lt;=ref!$M$4),ref!$K$4,IF(AND(L302&gt;=ref!$L$5,L302&lt;=ref!$M$5),ref!$K$5,IF(AND(L302&gt;=ref!$L$6,L302&lt;=ref!$M$6),ref!$K$6,IF(AND(L302&gt;=ref!$L$7,L302&lt;=ref!$M$7),ref!$K$7,IF(AND(L302&gt;=ref!$L$8,L302&lt;=ref!$M$8),ref!$K$8,IF(AND(L302&gt;=ref!$L$9,L302&lt;=ref!$M$9),ref!$K$9,IF(AND(L302&gt;=ref!$L$11,L302&lt;=ref!$M$11),ref!$K$11,IF(AND(L302&gt;=ref!$L$12,L302&lt;=ref!$M$12),ref!$K$12,""))))))))))</f>
        <v/>
      </c>
      <c r="N302" s="22"/>
      <c r="O302" s="16"/>
      <c r="P302" s="22"/>
      <c r="Q302" s="27"/>
      <c r="R302" s="22"/>
      <c r="S302" s="22"/>
      <c r="T302" s="16"/>
      <c r="U302" s="16"/>
      <c r="V302" s="16"/>
      <c r="W302" s="16"/>
      <c r="X302" s="16"/>
      <c r="Y302" s="16"/>
      <c r="Z302" s="16"/>
      <c r="AA302" s="16"/>
      <c r="AB302" s="22"/>
    </row>
    <row r="303" spans="1:28" x14ac:dyDescent="0.3">
      <c r="A303" s="22"/>
      <c r="B303" s="22"/>
      <c r="C303" s="22"/>
      <c r="D303" s="22"/>
      <c r="E303" s="22"/>
      <c r="F303" s="22"/>
      <c r="G303" s="22"/>
      <c r="H303" s="22"/>
      <c r="I303" s="24" t="str">
        <f t="shared" si="8"/>
        <v/>
      </c>
      <c r="J303" s="25" t="str">
        <f t="shared" si="9"/>
        <v/>
      </c>
      <c r="K303" s="22"/>
      <c r="L303" s="22"/>
      <c r="M303" s="25" t="str">
        <f>IF(AND(L303&gt;=ref!$L$2,L303&lt;=ref!$M$2),ref!$K$2,IF(AND(L303&gt;=ref!$L$3,L303&lt;=ref!$M$3),ref!$K$3,IF(AND(L303&gt;=ref!$L$4,L303&lt;=ref!$M$4),ref!$K$4,IF(AND(L303&gt;=ref!$L$5,L303&lt;=ref!$M$5),ref!$K$5,IF(AND(L303&gt;=ref!$L$6,L303&lt;=ref!$M$6),ref!$K$6,IF(AND(L303&gt;=ref!$L$7,L303&lt;=ref!$M$7),ref!$K$7,IF(AND(L303&gt;=ref!$L$8,L303&lt;=ref!$M$8),ref!$K$8,IF(AND(L303&gt;=ref!$L$9,L303&lt;=ref!$M$9),ref!$K$9,IF(AND(L303&gt;=ref!$L$11,L303&lt;=ref!$M$11),ref!$K$11,IF(AND(L303&gt;=ref!$L$12,L303&lt;=ref!$M$12),ref!$K$12,""))))))))))</f>
        <v/>
      </c>
      <c r="N303" s="22"/>
      <c r="O303" s="16"/>
      <c r="P303" s="22"/>
      <c r="Q303" s="27"/>
      <c r="R303" s="22"/>
      <c r="S303" s="22"/>
      <c r="T303" s="16"/>
      <c r="U303" s="16"/>
      <c r="V303" s="16"/>
      <c r="W303" s="16"/>
      <c r="X303" s="16"/>
      <c r="Y303" s="16"/>
      <c r="Z303" s="16"/>
      <c r="AA303" s="16"/>
      <c r="AB303" s="22"/>
    </row>
    <row r="304" spans="1:28" x14ac:dyDescent="0.3">
      <c r="A304" s="22"/>
      <c r="B304" s="22"/>
      <c r="C304" s="22"/>
      <c r="D304" s="22"/>
      <c r="E304" s="22"/>
      <c r="F304" s="22"/>
      <c r="G304" s="22"/>
      <c r="H304" s="22"/>
      <c r="I304" s="24" t="str">
        <f t="shared" si="8"/>
        <v/>
      </c>
      <c r="J304" s="25" t="str">
        <f t="shared" si="9"/>
        <v/>
      </c>
      <c r="K304" s="22"/>
      <c r="L304" s="22"/>
      <c r="M304" s="25" t="str">
        <f>IF(AND(L304&gt;=ref!$L$2,L304&lt;=ref!$M$2),ref!$K$2,IF(AND(L304&gt;=ref!$L$3,L304&lt;=ref!$M$3),ref!$K$3,IF(AND(L304&gt;=ref!$L$4,L304&lt;=ref!$M$4),ref!$K$4,IF(AND(L304&gt;=ref!$L$5,L304&lt;=ref!$M$5),ref!$K$5,IF(AND(L304&gt;=ref!$L$6,L304&lt;=ref!$M$6),ref!$K$6,IF(AND(L304&gt;=ref!$L$7,L304&lt;=ref!$M$7),ref!$K$7,IF(AND(L304&gt;=ref!$L$8,L304&lt;=ref!$M$8),ref!$K$8,IF(AND(L304&gt;=ref!$L$9,L304&lt;=ref!$M$9),ref!$K$9,IF(AND(L304&gt;=ref!$L$11,L304&lt;=ref!$M$11),ref!$K$11,IF(AND(L304&gt;=ref!$L$12,L304&lt;=ref!$M$12),ref!$K$12,""))))))))))</f>
        <v/>
      </c>
      <c r="N304" s="22"/>
      <c r="O304" s="16"/>
      <c r="P304" s="22"/>
      <c r="Q304" s="27"/>
      <c r="R304" s="22"/>
      <c r="S304" s="22"/>
      <c r="T304" s="16"/>
      <c r="U304" s="16"/>
      <c r="V304" s="16"/>
      <c r="W304" s="16"/>
      <c r="X304" s="16"/>
      <c r="Y304" s="16"/>
      <c r="Z304" s="16"/>
      <c r="AA304" s="16"/>
      <c r="AB304" s="22"/>
    </row>
    <row r="305" spans="1:28" x14ac:dyDescent="0.3">
      <c r="A305" s="22"/>
      <c r="B305" s="22"/>
      <c r="C305" s="22"/>
      <c r="D305" s="22"/>
      <c r="E305" s="22"/>
      <c r="F305" s="22"/>
      <c r="G305" s="22"/>
      <c r="H305" s="22"/>
      <c r="I305" s="24" t="str">
        <f t="shared" si="8"/>
        <v/>
      </c>
      <c r="J305" s="25" t="str">
        <f t="shared" si="9"/>
        <v/>
      </c>
      <c r="K305" s="22"/>
      <c r="L305" s="22"/>
      <c r="M305" s="25" t="str">
        <f>IF(AND(L305&gt;=ref!$L$2,L305&lt;=ref!$M$2),ref!$K$2,IF(AND(L305&gt;=ref!$L$3,L305&lt;=ref!$M$3),ref!$K$3,IF(AND(L305&gt;=ref!$L$4,L305&lt;=ref!$M$4),ref!$K$4,IF(AND(L305&gt;=ref!$L$5,L305&lt;=ref!$M$5),ref!$K$5,IF(AND(L305&gt;=ref!$L$6,L305&lt;=ref!$M$6),ref!$K$6,IF(AND(L305&gt;=ref!$L$7,L305&lt;=ref!$M$7),ref!$K$7,IF(AND(L305&gt;=ref!$L$8,L305&lt;=ref!$M$8),ref!$K$8,IF(AND(L305&gt;=ref!$L$9,L305&lt;=ref!$M$9),ref!$K$9,IF(AND(L305&gt;=ref!$L$11,L305&lt;=ref!$M$11),ref!$K$11,IF(AND(L305&gt;=ref!$L$12,L305&lt;=ref!$M$12),ref!$K$12,""))))))))))</f>
        <v/>
      </c>
      <c r="N305" s="22"/>
      <c r="O305" s="16"/>
      <c r="P305" s="22"/>
      <c r="Q305" s="27"/>
      <c r="R305" s="22"/>
      <c r="S305" s="22"/>
      <c r="T305" s="16"/>
      <c r="U305" s="16"/>
      <c r="V305" s="16"/>
      <c r="W305" s="16"/>
      <c r="X305" s="16"/>
      <c r="Y305" s="16"/>
      <c r="Z305" s="16"/>
      <c r="AA305" s="16"/>
      <c r="AB305" s="22"/>
    </row>
    <row r="306" spans="1:28" x14ac:dyDescent="0.3">
      <c r="A306" s="22"/>
      <c r="B306" s="22"/>
      <c r="C306" s="22"/>
      <c r="D306" s="22"/>
      <c r="E306" s="22"/>
      <c r="F306" s="22"/>
      <c r="G306" s="22"/>
      <c r="H306" s="22"/>
      <c r="I306" s="24" t="str">
        <f t="shared" si="8"/>
        <v/>
      </c>
      <c r="J306" s="25" t="str">
        <f t="shared" si="9"/>
        <v/>
      </c>
      <c r="K306" s="22"/>
      <c r="L306" s="22"/>
      <c r="M306" s="25" t="str">
        <f>IF(AND(L306&gt;=ref!$L$2,L306&lt;=ref!$M$2),ref!$K$2,IF(AND(L306&gt;=ref!$L$3,L306&lt;=ref!$M$3),ref!$K$3,IF(AND(L306&gt;=ref!$L$4,L306&lt;=ref!$M$4),ref!$K$4,IF(AND(L306&gt;=ref!$L$5,L306&lt;=ref!$M$5),ref!$K$5,IF(AND(L306&gt;=ref!$L$6,L306&lt;=ref!$M$6),ref!$K$6,IF(AND(L306&gt;=ref!$L$7,L306&lt;=ref!$M$7),ref!$K$7,IF(AND(L306&gt;=ref!$L$8,L306&lt;=ref!$M$8),ref!$K$8,IF(AND(L306&gt;=ref!$L$9,L306&lt;=ref!$M$9),ref!$K$9,IF(AND(L306&gt;=ref!$L$11,L306&lt;=ref!$M$11),ref!$K$11,IF(AND(L306&gt;=ref!$L$12,L306&lt;=ref!$M$12),ref!$K$12,""))))))))))</f>
        <v/>
      </c>
      <c r="N306" s="22"/>
      <c r="O306" s="16"/>
      <c r="P306" s="22"/>
      <c r="Q306" s="27"/>
      <c r="R306" s="22"/>
      <c r="S306" s="22"/>
      <c r="T306" s="16"/>
      <c r="U306" s="16"/>
      <c r="V306" s="16"/>
      <c r="W306" s="16"/>
      <c r="X306" s="16"/>
      <c r="Y306" s="16"/>
      <c r="Z306" s="16"/>
      <c r="AA306" s="16"/>
      <c r="AB306" s="22"/>
    </row>
    <row r="307" spans="1:28" x14ac:dyDescent="0.3">
      <c r="A307" s="22"/>
      <c r="B307" s="22"/>
      <c r="C307" s="22"/>
      <c r="D307" s="22"/>
      <c r="E307" s="22"/>
      <c r="F307" s="22"/>
      <c r="G307" s="22"/>
      <c r="H307" s="22"/>
      <c r="I307" s="24" t="str">
        <f t="shared" si="8"/>
        <v/>
      </c>
      <c r="J307" s="25" t="str">
        <f t="shared" si="9"/>
        <v/>
      </c>
      <c r="K307" s="22"/>
      <c r="L307" s="22"/>
      <c r="M307" s="25" t="str">
        <f>IF(AND(L307&gt;=ref!$L$2,L307&lt;=ref!$M$2),ref!$K$2,IF(AND(L307&gt;=ref!$L$3,L307&lt;=ref!$M$3),ref!$K$3,IF(AND(L307&gt;=ref!$L$4,L307&lt;=ref!$M$4),ref!$K$4,IF(AND(L307&gt;=ref!$L$5,L307&lt;=ref!$M$5),ref!$K$5,IF(AND(L307&gt;=ref!$L$6,L307&lt;=ref!$M$6),ref!$K$6,IF(AND(L307&gt;=ref!$L$7,L307&lt;=ref!$M$7),ref!$K$7,IF(AND(L307&gt;=ref!$L$8,L307&lt;=ref!$M$8),ref!$K$8,IF(AND(L307&gt;=ref!$L$9,L307&lt;=ref!$M$9),ref!$K$9,IF(AND(L307&gt;=ref!$L$11,L307&lt;=ref!$M$11),ref!$K$11,IF(AND(L307&gt;=ref!$L$12,L307&lt;=ref!$M$12),ref!$K$12,""))))))))))</f>
        <v/>
      </c>
      <c r="N307" s="22"/>
      <c r="O307" s="16"/>
      <c r="P307" s="22"/>
      <c r="Q307" s="27"/>
      <c r="R307" s="22"/>
      <c r="S307" s="22"/>
      <c r="T307" s="16"/>
      <c r="U307" s="16"/>
      <c r="V307" s="16"/>
      <c r="W307" s="16"/>
      <c r="X307" s="16"/>
      <c r="Y307" s="16"/>
      <c r="Z307" s="16"/>
      <c r="AA307" s="16"/>
      <c r="AB307" s="22"/>
    </row>
    <row r="308" spans="1:28" x14ac:dyDescent="0.3">
      <c r="A308" s="22"/>
      <c r="B308" s="22"/>
      <c r="C308" s="22"/>
      <c r="D308" s="22"/>
      <c r="E308" s="22"/>
      <c r="F308" s="22"/>
      <c r="G308" s="22"/>
      <c r="H308" s="22"/>
      <c r="I308" s="24" t="str">
        <f t="shared" si="8"/>
        <v/>
      </c>
      <c r="J308" s="25" t="str">
        <f t="shared" si="9"/>
        <v/>
      </c>
      <c r="K308" s="22"/>
      <c r="L308" s="22"/>
      <c r="M308" s="25" t="str">
        <f>IF(AND(L308&gt;=ref!$L$2,L308&lt;=ref!$M$2),ref!$K$2,IF(AND(L308&gt;=ref!$L$3,L308&lt;=ref!$M$3),ref!$K$3,IF(AND(L308&gt;=ref!$L$4,L308&lt;=ref!$M$4),ref!$K$4,IF(AND(L308&gt;=ref!$L$5,L308&lt;=ref!$M$5),ref!$K$5,IF(AND(L308&gt;=ref!$L$6,L308&lt;=ref!$M$6),ref!$K$6,IF(AND(L308&gt;=ref!$L$7,L308&lt;=ref!$M$7),ref!$K$7,IF(AND(L308&gt;=ref!$L$8,L308&lt;=ref!$M$8),ref!$K$8,IF(AND(L308&gt;=ref!$L$9,L308&lt;=ref!$M$9),ref!$K$9,IF(AND(L308&gt;=ref!$L$11,L308&lt;=ref!$M$11),ref!$K$11,IF(AND(L308&gt;=ref!$L$12,L308&lt;=ref!$M$12),ref!$K$12,""))))))))))</f>
        <v/>
      </c>
      <c r="N308" s="22"/>
      <c r="O308" s="16"/>
      <c r="P308" s="22"/>
      <c r="Q308" s="27"/>
      <c r="R308" s="22"/>
      <c r="S308" s="22"/>
      <c r="T308" s="16"/>
      <c r="U308" s="16"/>
      <c r="V308" s="16"/>
      <c r="W308" s="16"/>
      <c r="X308" s="16"/>
      <c r="Y308" s="16"/>
      <c r="Z308" s="16"/>
      <c r="AA308" s="16"/>
      <c r="AB308" s="22"/>
    </row>
    <row r="309" spans="1:28" x14ac:dyDescent="0.3">
      <c r="A309" s="22"/>
      <c r="B309" s="22"/>
      <c r="C309" s="22"/>
      <c r="D309" s="22"/>
      <c r="E309" s="22"/>
      <c r="F309" s="22"/>
      <c r="G309" s="22"/>
      <c r="H309" s="22"/>
      <c r="I309" s="24" t="str">
        <f t="shared" si="8"/>
        <v/>
      </c>
      <c r="J309" s="25" t="str">
        <f t="shared" si="9"/>
        <v/>
      </c>
      <c r="K309" s="22"/>
      <c r="L309" s="22"/>
      <c r="M309" s="25" t="str">
        <f>IF(AND(L309&gt;=ref!$L$2,L309&lt;=ref!$M$2),ref!$K$2,IF(AND(L309&gt;=ref!$L$3,L309&lt;=ref!$M$3),ref!$K$3,IF(AND(L309&gt;=ref!$L$4,L309&lt;=ref!$M$4),ref!$K$4,IF(AND(L309&gt;=ref!$L$5,L309&lt;=ref!$M$5),ref!$K$5,IF(AND(L309&gt;=ref!$L$6,L309&lt;=ref!$M$6),ref!$K$6,IF(AND(L309&gt;=ref!$L$7,L309&lt;=ref!$M$7),ref!$K$7,IF(AND(L309&gt;=ref!$L$8,L309&lt;=ref!$M$8),ref!$K$8,IF(AND(L309&gt;=ref!$L$9,L309&lt;=ref!$M$9),ref!$K$9,IF(AND(L309&gt;=ref!$L$11,L309&lt;=ref!$M$11),ref!$K$11,IF(AND(L309&gt;=ref!$L$12,L309&lt;=ref!$M$12),ref!$K$12,""))))))))))</f>
        <v/>
      </c>
      <c r="N309" s="22"/>
      <c r="O309" s="16"/>
      <c r="P309" s="22"/>
      <c r="Q309" s="27"/>
      <c r="R309" s="22"/>
      <c r="S309" s="22"/>
      <c r="T309" s="16"/>
      <c r="U309" s="16"/>
      <c r="V309" s="16"/>
      <c r="W309" s="16"/>
      <c r="X309" s="16"/>
      <c r="Y309" s="16"/>
      <c r="Z309" s="16"/>
      <c r="AA309" s="16"/>
      <c r="AB309" s="22"/>
    </row>
    <row r="310" spans="1:28" x14ac:dyDescent="0.3">
      <c r="A310" s="22"/>
      <c r="B310" s="22"/>
      <c r="C310" s="22"/>
      <c r="D310" s="22"/>
      <c r="E310" s="22"/>
      <c r="F310" s="22"/>
      <c r="G310" s="22"/>
      <c r="H310" s="22"/>
      <c r="I310" s="24" t="str">
        <f t="shared" si="8"/>
        <v/>
      </c>
      <c r="J310" s="25" t="str">
        <f t="shared" si="9"/>
        <v/>
      </c>
      <c r="K310" s="22"/>
      <c r="L310" s="22"/>
      <c r="M310" s="25" t="str">
        <f>IF(AND(L310&gt;=ref!$L$2,L310&lt;=ref!$M$2),ref!$K$2,IF(AND(L310&gt;=ref!$L$3,L310&lt;=ref!$M$3),ref!$K$3,IF(AND(L310&gt;=ref!$L$4,L310&lt;=ref!$M$4),ref!$K$4,IF(AND(L310&gt;=ref!$L$5,L310&lt;=ref!$M$5),ref!$K$5,IF(AND(L310&gt;=ref!$L$6,L310&lt;=ref!$M$6),ref!$K$6,IF(AND(L310&gt;=ref!$L$7,L310&lt;=ref!$M$7),ref!$K$7,IF(AND(L310&gt;=ref!$L$8,L310&lt;=ref!$M$8),ref!$K$8,IF(AND(L310&gt;=ref!$L$9,L310&lt;=ref!$M$9),ref!$K$9,IF(AND(L310&gt;=ref!$L$11,L310&lt;=ref!$M$11),ref!$K$11,IF(AND(L310&gt;=ref!$L$12,L310&lt;=ref!$M$12),ref!$K$12,""))))))))))</f>
        <v/>
      </c>
      <c r="N310" s="22"/>
      <c r="O310" s="16"/>
      <c r="P310" s="22"/>
      <c r="Q310" s="27"/>
      <c r="R310" s="22"/>
      <c r="S310" s="22"/>
      <c r="T310" s="16"/>
      <c r="U310" s="16"/>
      <c r="V310" s="16"/>
      <c r="W310" s="16"/>
      <c r="X310" s="16"/>
      <c r="Y310" s="16"/>
      <c r="Z310" s="16"/>
      <c r="AA310" s="16"/>
      <c r="AB310" s="22"/>
    </row>
    <row r="311" spans="1:28" x14ac:dyDescent="0.3">
      <c r="A311" s="22"/>
      <c r="B311" s="22"/>
      <c r="C311" s="22"/>
      <c r="D311" s="22"/>
      <c r="E311" s="22"/>
      <c r="F311" s="22"/>
      <c r="G311" s="22"/>
      <c r="H311" s="22"/>
      <c r="I311" s="24" t="str">
        <f t="shared" si="8"/>
        <v/>
      </c>
      <c r="J311" s="25" t="str">
        <f t="shared" si="9"/>
        <v/>
      </c>
      <c r="K311" s="22"/>
      <c r="L311" s="22"/>
      <c r="M311" s="25" t="str">
        <f>IF(AND(L311&gt;=ref!$L$2,L311&lt;=ref!$M$2),ref!$K$2,IF(AND(L311&gt;=ref!$L$3,L311&lt;=ref!$M$3),ref!$K$3,IF(AND(L311&gt;=ref!$L$4,L311&lt;=ref!$M$4),ref!$K$4,IF(AND(L311&gt;=ref!$L$5,L311&lt;=ref!$M$5),ref!$K$5,IF(AND(L311&gt;=ref!$L$6,L311&lt;=ref!$M$6),ref!$K$6,IF(AND(L311&gt;=ref!$L$7,L311&lt;=ref!$M$7),ref!$K$7,IF(AND(L311&gt;=ref!$L$8,L311&lt;=ref!$M$8),ref!$K$8,IF(AND(L311&gt;=ref!$L$9,L311&lt;=ref!$M$9),ref!$K$9,IF(AND(L311&gt;=ref!$L$11,L311&lt;=ref!$M$11),ref!$K$11,IF(AND(L311&gt;=ref!$L$12,L311&lt;=ref!$M$12),ref!$K$12,""))))))))))</f>
        <v/>
      </c>
      <c r="N311" s="22"/>
      <c r="O311" s="16"/>
      <c r="P311" s="22"/>
      <c r="Q311" s="27"/>
      <c r="R311" s="22"/>
      <c r="S311" s="22"/>
      <c r="T311" s="16"/>
      <c r="U311" s="16"/>
      <c r="V311" s="16"/>
      <c r="W311" s="16"/>
      <c r="X311" s="16"/>
      <c r="Y311" s="16"/>
      <c r="Z311" s="16"/>
      <c r="AA311" s="16"/>
      <c r="AB311" s="22"/>
    </row>
    <row r="312" spans="1:28" x14ac:dyDescent="0.3">
      <c r="A312" s="22"/>
      <c r="B312" s="22"/>
      <c r="C312" s="22"/>
      <c r="D312" s="22"/>
      <c r="E312" s="22"/>
      <c r="F312" s="22"/>
      <c r="G312" s="22"/>
      <c r="H312" s="22"/>
      <c r="I312" s="24" t="str">
        <f t="shared" si="8"/>
        <v/>
      </c>
      <c r="J312" s="25" t="str">
        <f t="shared" si="9"/>
        <v/>
      </c>
      <c r="K312" s="22"/>
      <c r="L312" s="22"/>
      <c r="M312" s="25" t="str">
        <f>IF(AND(L312&gt;=ref!$L$2,L312&lt;=ref!$M$2),ref!$K$2,IF(AND(L312&gt;=ref!$L$3,L312&lt;=ref!$M$3),ref!$K$3,IF(AND(L312&gt;=ref!$L$4,L312&lt;=ref!$M$4),ref!$K$4,IF(AND(L312&gt;=ref!$L$5,L312&lt;=ref!$M$5),ref!$K$5,IF(AND(L312&gt;=ref!$L$6,L312&lt;=ref!$M$6),ref!$K$6,IF(AND(L312&gt;=ref!$L$7,L312&lt;=ref!$M$7),ref!$K$7,IF(AND(L312&gt;=ref!$L$8,L312&lt;=ref!$M$8),ref!$K$8,IF(AND(L312&gt;=ref!$L$9,L312&lt;=ref!$M$9),ref!$K$9,IF(AND(L312&gt;=ref!$L$11,L312&lt;=ref!$M$11),ref!$K$11,IF(AND(L312&gt;=ref!$L$12,L312&lt;=ref!$M$12),ref!$K$12,""))))))))))</f>
        <v/>
      </c>
      <c r="N312" s="22"/>
      <c r="O312" s="16"/>
      <c r="P312" s="22"/>
      <c r="Q312" s="27"/>
      <c r="R312" s="22"/>
      <c r="S312" s="22"/>
      <c r="T312" s="16"/>
      <c r="U312" s="16"/>
      <c r="V312" s="16"/>
      <c r="W312" s="16"/>
      <c r="X312" s="16"/>
      <c r="Y312" s="16"/>
      <c r="Z312" s="16"/>
      <c r="AA312" s="16"/>
      <c r="AB312" s="22"/>
    </row>
    <row r="313" spans="1:28" x14ac:dyDescent="0.3">
      <c r="A313" s="22"/>
      <c r="B313" s="22"/>
      <c r="C313" s="22"/>
      <c r="D313" s="22"/>
      <c r="E313" s="22"/>
      <c r="F313" s="22"/>
      <c r="G313" s="22"/>
      <c r="H313" s="22"/>
      <c r="I313" s="24" t="str">
        <f t="shared" si="8"/>
        <v/>
      </c>
      <c r="J313" s="25" t="str">
        <f t="shared" si="9"/>
        <v/>
      </c>
      <c r="K313" s="22"/>
      <c r="L313" s="22"/>
      <c r="M313" s="25" t="str">
        <f>IF(AND(L313&gt;=ref!$L$2,L313&lt;=ref!$M$2),ref!$K$2,IF(AND(L313&gt;=ref!$L$3,L313&lt;=ref!$M$3),ref!$K$3,IF(AND(L313&gt;=ref!$L$4,L313&lt;=ref!$M$4),ref!$K$4,IF(AND(L313&gt;=ref!$L$5,L313&lt;=ref!$M$5),ref!$K$5,IF(AND(L313&gt;=ref!$L$6,L313&lt;=ref!$M$6),ref!$K$6,IF(AND(L313&gt;=ref!$L$7,L313&lt;=ref!$M$7),ref!$K$7,IF(AND(L313&gt;=ref!$L$8,L313&lt;=ref!$M$8),ref!$K$8,IF(AND(L313&gt;=ref!$L$9,L313&lt;=ref!$M$9),ref!$K$9,IF(AND(L313&gt;=ref!$L$11,L313&lt;=ref!$M$11),ref!$K$11,IF(AND(L313&gt;=ref!$L$12,L313&lt;=ref!$M$12),ref!$K$12,""))))))))))</f>
        <v/>
      </c>
      <c r="N313" s="22"/>
      <c r="O313" s="16"/>
      <c r="P313" s="22"/>
      <c r="Q313" s="27"/>
      <c r="R313" s="22"/>
      <c r="S313" s="22"/>
      <c r="T313" s="16"/>
      <c r="U313" s="16"/>
      <c r="V313" s="16"/>
      <c r="W313" s="16"/>
      <c r="X313" s="16"/>
      <c r="Y313" s="16"/>
      <c r="Z313" s="16"/>
      <c r="AA313" s="16"/>
      <c r="AB313" s="22"/>
    </row>
    <row r="314" spans="1:28" x14ac:dyDescent="0.3">
      <c r="A314" s="22"/>
      <c r="B314" s="22"/>
      <c r="C314" s="22"/>
      <c r="D314" s="22"/>
      <c r="E314" s="22"/>
      <c r="F314" s="22"/>
      <c r="G314" s="22"/>
      <c r="H314" s="22"/>
      <c r="I314" s="24" t="str">
        <f t="shared" si="8"/>
        <v/>
      </c>
      <c r="J314" s="25" t="str">
        <f t="shared" si="9"/>
        <v/>
      </c>
      <c r="K314" s="22"/>
      <c r="L314" s="22"/>
      <c r="M314" s="25" t="str">
        <f>IF(AND(L314&gt;=ref!$L$2,L314&lt;=ref!$M$2),ref!$K$2,IF(AND(L314&gt;=ref!$L$3,L314&lt;=ref!$M$3),ref!$K$3,IF(AND(L314&gt;=ref!$L$4,L314&lt;=ref!$M$4),ref!$K$4,IF(AND(L314&gt;=ref!$L$5,L314&lt;=ref!$M$5),ref!$K$5,IF(AND(L314&gt;=ref!$L$6,L314&lt;=ref!$M$6),ref!$K$6,IF(AND(L314&gt;=ref!$L$7,L314&lt;=ref!$M$7),ref!$K$7,IF(AND(L314&gt;=ref!$L$8,L314&lt;=ref!$M$8),ref!$K$8,IF(AND(L314&gt;=ref!$L$9,L314&lt;=ref!$M$9),ref!$K$9,IF(AND(L314&gt;=ref!$L$11,L314&lt;=ref!$M$11),ref!$K$11,IF(AND(L314&gt;=ref!$L$12,L314&lt;=ref!$M$12),ref!$K$12,""))))))))))</f>
        <v/>
      </c>
      <c r="N314" s="22"/>
      <c r="O314" s="16"/>
      <c r="P314" s="22"/>
      <c r="Q314" s="27"/>
      <c r="R314" s="22"/>
      <c r="S314" s="22"/>
      <c r="T314" s="16"/>
      <c r="U314" s="16"/>
      <c r="V314" s="16"/>
      <c r="W314" s="16"/>
      <c r="X314" s="16"/>
      <c r="Y314" s="16"/>
      <c r="Z314" s="16"/>
      <c r="AA314" s="16"/>
      <c r="AB314" s="22"/>
    </row>
    <row r="315" spans="1:28" x14ac:dyDescent="0.3">
      <c r="A315" s="22"/>
      <c r="B315" s="22"/>
      <c r="C315" s="22"/>
      <c r="D315" s="22"/>
      <c r="E315" s="22"/>
      <c r="F315" s="22"/>
      <c r="G315" s="22"/>
      <c r="H315" s="22"/>
      <c r="I315" s="24" t="str">
        <f t="shared" si="8"/>
        <v/>
      </c>
      <c r="J315" s="25" t="str">
        <f t="shared" si="9"/>
        <v/>
      </c>
      <c r="K315" s="22"/>
      <c r="L315" s="22"/>
      <c r="M315" s="25" t="str">
        <f>IF(AND(L315&gt;=ref!$L$2,L315&lt;=ref!$M$2),ref!$K$2,IF(AND(L315&gt;=ref!$L$3,L315&lt;=ref!$M$3),ref!$K$3,IF(AND(L315&gt;=ref!$L$4,L315&lt;=ref!$M$4),ref!$K$4,IF(AND(L315&gt;=ref!$L$5,L315&lt;=ref!$M$5),ref!$K$5,IF(AND(L315&gt;=ref!$L$6,L315&lt;=ref!$M$6),ref!$K$6,IF(AND(L315&gt;=ref!$L$7,L315&lt;=ref!$M$7),ref!$K$7,IF(AND(L315&gt;=ref!$L$8,L315&lt;=ref!$M$8),ref!$K$8,IF(AND(L315&gt;=ref!$L$9,L315&lt;=ref!$M$9),ref!$K$9,IF(AND(L315&gt;=ref!$L$11,L315&lt;=ref!$M$11),ref!$K$11,IF(AND(L315&gt;=ref!$L$12,L315&lt;=ref!$M$12),ref!$K$12,""))))))))))</f>
        <v/>
      </c>
      <c r="N315" s="22"/>
      <c r="O315" s="16"/>
      <c r="P315" s="22"/>
      <c r="Q315" s="27"/>
      <c r="R315" s="22"/>
      <c r="S315" s="22"/>
      <c r="T315" s="16"/>
      <c r="U315" s="16"/>
      <c r="V315" s="16"/>
      <c r="W315" s="16"/>
      <c r="X315" s="16"/>
      <c r="Y315" s="16"/>
      <c r="Z315" s="16"/>
      <c r="AA315" s="16"/>
      <c r="AB315" s="22"/>
    </row>
    <row r="316" spans="1:28" x14ac:dyDescent="0.3">
      <c r="A316" s="22"/>
      <c r="B316" s="22"/>
      <c r="C316" s="22"/>
      <c r="D316" s="22"/>
      <c r="E316" s="22"/>
      <c r="F316" s="22"/>
      <c r="G316" s="22"/>
      <c r="H316" s="22"/>
      <c r="I316" s="24" t="str">
        <f t="shared" si="8"/>
        <v/>
      </c>
      <c r="J316" s="25" t="str">
        <f t="shared" si="9"/>
        <v/>
      </c>
      <c r="K316" s="22"/>
      <c r="L316" s="22"/>
      <c r="M316" s="25" t="str">
        <f>IF(AND(L316&gt;=ref!$L$2,L316&lt;=ref!$M$2),ref!$K$2,IF(AND(L316&gt;=ref!$L$3,L316&lt;=ref!$M$3),ref!$K$3,IF(AND(L316&gt;=ref!$L$4,L316&lt;=ref!$M$4),ref!$K$4,IF(AND(L316&gt;=ref!$L$5,L316&lt;=ref!$M$5),ref!$K$5,IF(AND(L316&gt;=ref!$L$6,L316&lt;=ref!$M$6),ref!$K$6,IF(AND(L316&gt;=ref!$L$7,L316&lt;=ref!$M$7),ref!$K$7,IF(AND(L316&gt;=ref!$L$8,L316&lt;=ref!$M$8),ref!$K$8,IF(AND(L316&gt;=ref!$L$9,L316&lt;=ref!$M$9),ref!$K$9,IF(AND(L316&gt;=ref!$L$11,L316&lt;=ref!$M$11),ref!$K$11,IF(AND(L316&gt;=ref!$L$12,L316&lt;=ref!$M$12),ref!$K$12,""))))))))))</f>
        <v/>
      </c>
      <c r="N316" s="22"/>
      <c r="O316" s="16"/>
      <c r="P316" s="22"/>
      <c r="Q316" s="27"/>
      <c r="R316" s="22"/>
      <c r="S316" s="22"/>
      <c r="T316" s="16"/>
      <c r="U316" s="16"/>
      <c r="V316" s="16"/>
      <c r="W316" s="16"/>
      <c r="X316" s="16"/>
      <c r="Y316" s="16"/>
      <c r="Z316" s="16"/>
      <c r="AA316" s="16"/>
      <c r="AB316" s="22"/>
    </row>
    <row r="317" spans="1:28" x14ac:dyDescent="0.3">
      <c r="A317" s="22"/>
      <c r="B317" s="22"/>
      <c r="C317" s="22"/>
      <c r="D317" s="22"/>
      <c r="E317" s="22"/>
      <c r="F317" s="22"/>
      <c r="G317" s="22"/>
      <c r="H317" s="22"/>
      <c r="I317" s="24" t="str">
        <f t="shared" si="8"/>
        <v/>
      </c>
      <c r="J317" s="25" t="str">
        <f t="shared" si="9"/>
        <v/>
      </c>
      <c r="K317" s="22"/>
      <c r="L317" s="22"/>
      <c r="M317" s="25" t="str">
        <f>IF(AND(L317&gt;=ref!$L$2,L317&lt;=ref!$M$2),ref!$K$2,IF(AND(L317&gt;=ref!$L$3,L317&lt;=ref!$M$3),ref!$K$3,IF(AND(L317&gt;=ref!$L$4,L317&lt;=ref!$M$4),ref!$K$4,IF(AND(L317&gt;=ref!$L$5,L317&lt;=ref!$M$5),ref!$K$5,IF(AND(L317&gt;=ref!$L$6,L317&lt;=ref!$M$6),ref!$K$6,IF(AND(L317&gt;=ref!$L$7,L317&lt;=ref!$M$7),ref!$K$7,IF(AND(L317&gt;=ref!$L$8,L317&lt;=ref!$M$8),ref!$K$8,IF(AND(L317&gt;=ref!$L$9,L317&lt;=ref!$M$9),ref!$K$9,IF(AND(L317&gt;=ref!$L$11,L317&lt;=ref!$M$11),ref!$K$11,IF(AND(L317&gt;=ref!$L$12,L317&lt;=ref!$M$12),ref!$K$12,""))))))))))</f>
        <v/>
      </c>
      <c r="N317" s="22"/>
      <c r="O317" s="16"/>
      <c r="P317" s="22"/>
      <c r="Q317" s="27"/>
      <c r="R317" s="22"/>
      <c r="S317" s="22"/>
      <c r="T317" s="16"/>
      <c r="U317" s="16"/>
      <c r="V317" s="16"/>
      <c r="W317" s="16"/>
      <c r="X317" s="16"/>
      <c r="Y317" s="16"/>
      <c r="Z317" s="16"/>
      <c r="AA317" s="16"/>
      <c r="AB317" s="22"/>
    </row>
    <row r="318" spans="1:28" x14ac:dyDescent="0.3">
      <c r="A318" s="22"/>
      <c r="B318" s="22"/>
      <c r="C318" s="22"/>
      <c r="D318" s="22"/>
      <c r="E318" s="22"/>
      <c r="F318" s="22"/>
      <c r="G318" s="22"/>
      <c r="H318" s="22"/>
      <c r="I318" s="24" t="str">
        <f t="shared" si="8"/>
        <v/>
      </c>
      <c r="J318" s="25" t="str">
        <f t="shared" si="9"/>
        <v/>
      </c>
      <c r="K318" s="22"/>
      <c r="L318" s="22"/>
      <c r="M318" s="25" t="str">
        <f>IF(AND(L318&gt;=ref!$L$2,L318&lt;=ref!$M$2),ref!$K$2,IF(AND(L318&gt;=ref!$L$3,L318&lt;=ref!$M$3),ref!$K$3,IF(AND(L318&gt;=ref!$L$4,L318&lt;=ref!$M$4),ref!$K$4,IF(AND(L318&gt;=ref!$L$5,L318&lt;=ref!$M$5),ref!$K$5,IF(AND(L318&gt;=ref!$L$6,L318&lt;=ref!$M$6),ref!$K$6,IF(AND(L318&gt;=ref!$L$7,L318&lt;=ref!$M$7),ref!$K$7,IF(AND(L318&gt;=ref!$L$8,L318&lt;=ref!$M$8),ref!$K$8,IF(AND(L318&gt;=ref!$L$9,L318&lt;=ref!$M$9),ref!$K$9,IF(AND(L318&gt;=ref!$L$11,L318&lt;=ref!$M$11),ref!$K$11,IF(AND(L318&gt;=ref!$L$12,L318&lt;=ref!$M$12),ref!$K$12,""))))))))))</f>
        <v/>
      </c>
      <c r="N318" s="22"/>
      <c r="O318" s="16"/>
      <c r="P318" s="22"/>
      <c r="Q318" s="27"/>
      <c r="R318" s="22"/>
      <c r="S318" s="22"/>
      <c r="T318" s="16"/>
      <c r="U318" s="16"/>
      <c r="V318" s="16"/>
      <c r="W318" s="16"/>
      <c r="X318" s="16"/>
      <c r="Y318" s="16"/>
      <c r="Z318" s="16"/>
      <c r="AA318" s="16"/>
      <c r="AB318" s="22"/>
    </row>
    <row r="319" spans="1:28" x14ac:dyDescent="0.3">
      <c r="A319" s="22"/>
      <c r="B319" s="22"/>
      <c r="C319" s="22"/>
      <c r="D319" s="22"/>
      <c r="E319" s="22"/>
      <c r="F319" s="22"/>
      <c r="G319" s="22"/>
      <c r="H319" s="22"/>
      <c r="I319" s="24" t="str">
        <f t="shared" si="8"/>
        <v/>
      </c>
      <c r="J319" s="25" t="str">
        <f t="shared" si="9"/>
        <v/>
      </c>
      <c r="K319" s="22"/>
      <c r="L319" s="22"/>
      <c r="M319" s="25" t="str">
        <f>IF(AND(L319&gt;=ref!$L$2,L319&lt;=ref!$M$2),ref!$K$2,IF(AND(L319&gt;=ref!$L$3,L319&lt;=ref!$M$3),ref!$K$3,IF(AND(L319&gt;=ref!$L$4,L319&lt;=ref!$M$4),ref!$K$4,IF(AND(L319&gt;=ref!$L$5,L319&lt;=ref!$M$5),ref!$K$5,IF(AND(L319&gt;=ref!$L$6,L319&lt;=ref!$M$6),ref!$K$6,IF(AND(L319&gt;=ref!$L$7,L319&lt;=ref!$M$7),ref!$K$7,IF(AND(L319&gt;=ref!$L$8,L319&lt;=ref!$M$8),ref!$K$8,IF(AND(L319&gt;=ref!$L$9,L319&lt;=ref!$M$9),ref!$K$9,IF(AND(L319&gt;=ref!$L$11,L319&lt;=ref!$M$11),ref!$K$11,IF(AND(L319&gt;=ref!$L$12,L319&lt;=ref!$M$12),ref!$K$12,""))))))))))</f>
        <v/>
      </c>
      <c r="N319" s="22"/>
      <c r="O319" s="16"/>
      <c r="P319" s="22"/>
      <c r="Q319" s="27"/>
      <c r="R319" s="22"/>
      <c r="S319" s="22"/>
      <c r="T319" s="16"/>
      <c r="U319" s="16"/>
      <c r="V319" s="16"/>
      <c r="W319" s="16"/>
      <c r="X319" s="16"/>
      <c r="Y319" s="16"/>
      <c r="Z319" s="16"/>
      <c r="AA319" s="16"/>
      <c r="AB319" s="22"/>
    </row>
    <row r="320" spans="1:28" x14ac:dyDescent="0.3">
      <c r="A320" s="22"/>
      <c r="B320" s="22"/>
      <c r="C320" s="22"/>
      <c r="D320" s="22"/>
      <c r="E320" s="22"/>
      <c r="F320" s="22"/>
      <c r="G320" s="22"/>
      <c r="H320" s="22"/>
      <c r="I320" s="24" t="str">
        <f t="shared" si="8"/>
        <v/>
      </c>
      <c r="J320" s="25" t="str">
        <f t="shared" si="9"/>
        <v/>
      </c>
      <c r="K320" s="22"/>
      <c r="L320" s="22"/>
      <c r="M320" s="25" t="str">
        <f>IF(AND(L320&gt;=ref!$L$2,L320&lt;=ref!$M$2),ref!$K$2,IF(AND(L320&gt;=ref!$L$3,L320&lt;=ref!$M$3),ref!$K$3,IF(AND(L320&gt;=ref!$L$4,L320&lt;=ref!$M$4),ref!$K$4,IF(AND(L320&gt;=ref!$L$5,L320&lt;=ref!$M$5),ref!$K$5,IF(AND(L320&gt;=ref!$L$6,L320&lt;=ref!$M$6),ref!$K$6,IF(AND(L320&gt;=ref!$L$7,L320&lt;=ref!$M$7),ref!$K$7,IF(AND(L320&gt;=ref!$L$8,L320&lt;=ref!$M$8),ref!$K$8,IF(AND(L320&gt;=ref!$L$9,L320&lt;=ref!$M$9),ref!$K$9,IF(AND(L320&gt;=ref!$L$11,L320&lt;=ref!$M$11),ref!$K$11,IF(AND(L320&gt;=ref!$L$12,L320&lt;=ref!$M$12),ref!$K$12,""))))))))))</f>
        <v/>
      </c>
      <c r="N320" s="22"/>
      <c r="O320" s="16"/>
      <c r="P320" s="22"/>
      <c r="Q320" s="27"/>
      <c r="R320" s="22"/>
      <c r="S320" s="22"/>
      <c r="T320" s="16"/>
      <c r="U320" s="16"/>
      <c r="V320" s="16"/>
      <c r="W320" s="16"/>
      <c r="X320" s="16"/>
      <c r="Y320" s="16"/>
      <c r="Z320" s="16"/>
      <c r="AA320" s="16"/>
      <c r="AB320" s="22"/>
    </row>
    <row r="321" spans="1:28" x14ac:dyDescent="0.3">
      <c r="A321" s="22"/>
      <c r="B321" s="22"/>
      <c r="C321" s="22"/>
      <c r="D321" s="22"/>
      <c r="E321" s="22"/>
      <c r="F321" s="22"/>
      <c r="G321" s="22"/>
      <c r="H321" s="22"/>
      <c r="I321" s="24" t="str">
        <f t="shared" si="8"/>
        <v/>
      </c>
      <c r="J321" s="25" t="str">
        <f t="shared" si="9"/>
        <v/>
      </c>
      <c r="K321" s="22"/>
      <c r="L321" s="22"/>
      <c r="M321" s="25" t="str">
        <f>IF(AND(L321&gt;=ref!$L$2,L321&lt;=ref!$M$2),ref!$K$2,IF(AND(L321&gt;=ref!$L$3,L321&lt;=ref!$M$3),ref!$K$3,IF(AND(L321&gt;=ref!$L$4,L321&lt;=ref!$M$4),ref!$K$4,IF(AND(L321&gt;=ref!$L$5,L321&lt;=ref!$M$5),ref!$K$5,IF(AND(L321&gt;=ref!$L$6,L321&lt;=ref!$M$6),ref!$K$6,IF(AND(L321&gt;=ref!$L$7,L321&lt;=ref!$M$7),ref!$K$7,IF(AND(L321&gt;=ref!$L$8,L321&lt;=ref!$M$8),ref!$K$8,IF(AND(L321&gt;=ref!$L$9,L321&lt;=ref!$M$9),ref!$K$9,IF(AND(L321&gt;=ref!$L$11,L321&lt;=ref!$M$11),ref!$K$11,IF(AND(L321&gt;=ref!$L$12,L321&lt;=ref!$M$12),ref!$K$12,""))))))))))</f>
        <v/>
      </c>
      <c r="N321" s="22"/>
      <c r="O321" s="16"/>
      <c r="P321" s="22"/>
      <c r="Q321" s="27"/>
      <c r="R321" s="22"/>
      <c r="S321" s="22"/>
      <c r="T321" s="16"/>
      <c r="U321" s="16"/>
      <c r="V321" s="16"/>
      <c r="W321" s="16"/>
      <c r="X321" s="16"/>
      <c r="Y321" s="16"/>
      <c r="Z321" s="16"/>
      <c r="AA321" s="16"/>
      <c r="AB321" s="22"/>
    </row>
    <row r="322" spans="1:28" x14ac:dyDescent="0.3">
      <c r="A322" s="22"/>
      <c r="B322" s="22"/>
      <c r="C322" s="22"/>
      <c r="D322" s="22"/>
      <c r="E322" s="22"/>
      <c r="F322" s="22"/>
      <c r="G322" s="22"/>
      <c r="H322" s="22"/>
      <c r="I322" s="24" t="str">
        <f t="shared" si="8"/>
        <v/>
      </c>
      <c r="J322" s="25" t="str">
        <f t="shared" si="9"/>
        <v/>
      </c>
      <c r="K322" s="22"/>
      <c r="L322" s="22"/>
      <c r="M322" s="25" t="str">
        <f>IF(AND(L322&gt;=ref!$L$2,L322&lt;=ref!$M$2),ref!$K$2,IF(AND(L322&gt;=ref!$L$3,L322&lt;=ref!$M$3),ref!$K$3,IF(AND(L322&gt;=ref!$L$4,L322&lt;=ref!$M$4),ref!$K$4,IF(AND(L322&gt;=ref!$L$5,L322&lt;=ref!$M$5),ref!$K$5,IF(AND(L322&gt;=ref!$L$6,L322&lt;=ref!$M$6),ref!$K$6,IF(AND(L322&gt;=ref!$L$7,L322&lt;=ref!$M$7),ref!$K$7,IF(AND(L322&gt;=ref!$L$8,L322&lt;=ref!$M$8),ref!$K$8,IF(AND(L322&gt;=ref!$L$9,L322&lt;=ref!$M$9),ref!$K$9,IF(AND(L322&gt;=ref!$L$11,L322&lt;=ref!$M$11),ref!$K$11,IF(AND(L322&gt;=ref!$L$12,L322&lt;=ref!$M$12),ref!$K$12,""))))))))))</f>
        <v/>
      </c>
      <c r="N322" s="22"/>
      <c r="O322" s="16"/>
      <c r="P322" s="22"/>
      <c r="Q322" s="27"/>
      <c r="R322" s="22"/>
      <c r="S322" s="22"/>
      <c r="T322" s="16"/>
      <c r="U322" s="16"/>
      <c r="V322" s="16"/>
      <c r="W322" s="16"/>
      <c r="X322" s="16"/>
      <c r="Y322" s="16"/>
      <c r="Z322" s="16"/>
      <c r="AA322" s="16"/>
      <c r="AB322" s="22"/>
    </row>
    <row r="323" spans="1:28" x14ac:dyDescent="0.3">
      <c r="A323" s="22"/>
      <c r="B323" s="22"/>
      <c r="C323" s="22"/>
      <c r="D323" s="22"/>
      <c r="E323" s="22"/>
      <c r="F323" s="22"/>
      <c r="G323" s="22"/>
      <c r="H323" s="22"/>
      <c r="I323" s="24" t="str">
        <f t="shared" si="8"/>
        <v/>
      </c>
      <c r="J323" s="25" t="str">
        <f t="shared" si="9"/>
        <v/>
      </c>
      <c r="K323" s="22"/>
      <c r="L323" s="22"/>
      <c r="M323" s="25" t="str">
        <f>IF(AND(L323&gt;=ref!$L$2,L323&lt;=ref!$M$2),ref!$K$2,IF(AND(L323&gt;=ref!$L$3,L323&lt;=ref!$M$3),ref!$K$3,IF(AND(L323&gt;=ref!$L$4,L323&lt;=ref!$M$4),ref!$K$4,IF(AND(L323&gt;=ref!$L$5,L323&lt;=ref!$M$5),ref!$K$5,IF(AND(L323&gt;=ref!$L$6,L323&lt;=ref!$M$6),ref!$K$6,IF(AND(L323&gt;=ref!$L$7,L323&lt;=ref!$M$7),ref!$K$7,IF(AND(L323&gt;=ref!$L$8,L323&lt;=ref!$M$8),ref!$K$8,IF(AND(L323&gt;=ref!$L$9,L323&lt;=ref!$M$9),ref!$K$9,IF(AND(L323&gt;=ref!$L$11,L323&lt;=ref!$M$11),ref!$K$11,IF(AND(L323&gt;=ref!$L$12,L323&lt;=ref!$M$12),ref!$K$12,""))))))))))</f>
        <v/>
      </c>
      <c r="N323" s="22"/>
      <c r="O323" s="16"/>
      <c r="P323" s="22"/>
      <c r="Q323" s="27"/>
      <c r="R323" s="22"/>
      <c r="S323" s="22"/>
      <c r="T323" s="16"/>
      <c r="U323" s="16"/>
      <c r="V323" s="16"/>
      <c r="W323" s="16"/>
      <c r="X323" s="16"/>
      <c r="Y323" s="16"/>
      <c r="Z323" s="16"/>
      <c r="AA323" s="16"/>
      <c r="AB323" s="22"/>
    </row>
    <row r="324" spans="1:28" x14ac:dyDescent="0.3">
      <c r="A324" s="22"/>
      <c r="B324" s="22"/>
      <c r="C324" s="22"/>
      <c r="D324" s="22"/>
      <c r="E324" s="22"/>
      <c r="F324" s="22"/>
      <c r="G324" s="22"/>
      <c r="H324" s="22"/>
      <c r="I324" s="24" t="str">
        <f t="shared" si="8"/>
        <v/>
      </c>
      <c r="J324" s="25" t="str">
        <f t="shared" si="9"/>
        <v/>
      </c>
      <c r="K324" s="22"/>
      <c r="L324" s="22"/>
      <c r="M324" s="25" t="str">
        <f>IF(AND(L324&gt;=ref!$L$2,L324&lt;=ref!$M$2),ref!$K$2,IF(AND(L324&gt;=ref!$L$3,L324&lt;=ref!$M$3),ref!$K$3,IF(AND(L324&gt;=ref!$L$4,L324&lt;=ref!$M$4),ref!$K$4,IF(AND(L324&gt;=ref!$L$5,L324&lt;=ref!$M$5),ref!$K$5,IF(AND(L324&gt;=ref!$L$6,L324&lt;=ref!$M$6),ref!$K$6,IF(AND(L324&gt;=ref!$L$7,L324&lt;=ref!$M$7),ref!$K$7,IF(AND(L324&gt;=ref!$L$8,L324&lt;=ref!$M$8),ref!$K$8,IF(AND(L324&gt;=ref!$L$9,L324&lt;=ref!$M$9),ref!$K$9,IF(AND(L324&gt;=ref!$L$11,L324&lt;=ref!$M$11),ref!$K$11,IF(AND(L324&gt;=ref!$L$12,L324&lt;=ref!$M$12),ref!$K$12,""))))))))))</f>
        <v/>
      </c>
      <c r="N324" s="22"/>
      <c r="O324" s="16"/>
      <c r="P324" s="22"/>
      <c r="Q324" s="27"/>
      <c r="R324" s="22"/>
      <c r="S324" s="22"/>
      <c r="T324" s="16"/>
      <c r="U324" s="16"/>
      <c r="V324" s="16"/>
      <c r="W324" s="16"/>
      <c r="X324" s="16"/>
      <c r="Y324" s="16"/>
      <c r="Z324" s="16"/>
      <c r="AA324" s="16"/>
      <c r="AB324" s="22"/>
    </row>
    <row r="325" spans="1:28" x14ac:dyDescent="0.3">
      <c r="A325" s="22"/>
      <c r="B325" s="22"/>
      <c r="C325" s="22"/>
      <c r="D325" s="22"/>
      <c r="E325" s="22"/>
      <c r="F325" s="22"/>
      <c r="G325" s="22"/>
      <c r="H325" s="22"/>
      <c r="I325" s="24" t="str">
        <f t="shared" si="8"/>
        <v/>
      </c>
      <c r="J325" s="25" t="str">
        <f t="shared" si="9"/>
        <v/>
      </c>
      <c r="K325" s="22"/>
      <c r="L325" s="22"/>
      <c r="M325" s="25" t="str">
        <f>IF(AND(L325&gt;=ref!$L$2,L325&lt;=ref!$M$2),ref!$K$2,IF(AND(L325&gt;=ref!$L$3,L325&lt;=ref!$M$3),ref!$K$3,IF(AND(L325&gt;=ref!$L$4,L325&lt;=ref!$M$4),ref!$K$4,IF(AND(L325&gt;=ref!$L$5,L325&lt;=ref!$M$5),ref!$K$5,IF(AND(L325&gt;=ref!$L$6,L325&lt;=ref!$M$6),ref!$K$6,IF(AND(L325&gt;=ref!$L$7,L325&lt;=ref!$M$7),ref!$K$7,IF(AND(L325&gt;=ref!$L$8,L325&lt;=ref!$M$8),ref!$K$8,IF(AND(L325&gt;=ref!$L$9,L325&lt;=ref!$M$9),ref!$K$9,IF(AND(L325&gt;=ref!$L$11,L325&lt;=ref!$M$11),ref!$K$11,IF(AND(L325&gt;=ref!$L$12,L325&lt;=ref!$M$12),ref!$K$12,""))))))))))</f>
        <v/>
      </c>
      <c r="N325" s="22"/>
      <c r="O325" s="16"/>
      <c r="P325" s="22"/>
      <c r="Q325" s="27"/>
      <c r="R325" s="22"/>
      <c r="S325" s="22"/>
      <c r="T325" s="16"/>
      <c r="U325" s="16"/>
      <c r="V325" s="16"/>
      <c r="W325" s="16"/>
      <c r="X325" s="16"/>
      <c r="Y325" s="16"/>
      <c r="Z325" s="16"/>
      <c r="AA325" s="16"/>
      <c r="AB325" s="22"/>
    </row>
    <row r="326" spans="1:28" x14ac:dyDescent="0.3">
      <c r="A326" s="22"/>
      <c r="B326" s="22"/>
      <c r="C326" s="22"/>
      <c r="D326" s="22"/>
      <c r="E326" s="22"/>
      <c r="F326" s="22"/>
      <c r="G326" s="22"/>
      <c r="H326" s="22"/>
      <c r="I326" s="24" t="str">
        <f t="shared" si="8"/>
        <v/>
      </c>
      <c r="J326" s="25" t="str">
        <f t="shared" si="9"/>
        <v/>
      </c>
      <c r="K326" s="22"/>
      <c r="L326" s="22"/>
      <c r="M326" s="25" t="str">
        <f>IF(AND(L326&gt;=ref!$L$2,L326&lt;=ref!$M$2),ref!$K$2,IF(AND(L326&gt;=ref!$L$3,L326&lt;=ref!$M$3),ref!$K$3,IF(AND(L326&gt;=ref!$L$4,L326&lt;=ref!$M$4),ref!$K$4,IF(AND(L326&gt;=ref!$L$5,L326&lt;=ref!$M$5),ref!$K$5,IF(AND(L326&gt;=ref!$L$6,L326&lt;=ref!$M$6),ref!$K$6,IF(AND(L326&gt;=ref!$L$7,L326&lt;=ref!$M$7),ref!$K$7,IF(AND(L326&gt;=ref!$L$8,L326&lt;=ref!$M$8),ref!$K$8,IF(AND(L326&gt;=ref!$L$9,L326&lt;=ref!$M$9),ref!$K$9,IF(AND(L326&gt;=ref!$L$11,L326&lt;=ref!$M$11),ref!$K$11,IF(AND(L326&gt;=ref!$L$12,L326&lt;=ref!$M$12),ref!$K$12,""))))))))))</f>
        <v/>
      </c>
      <c r="N326" s="22"/>
      <c r="O326" s="16"/>
      <c r="P326" s="22"/>
      <c r="Q326" s="27"/>
      <c r="R326" s="22"/>
      <c r="S326" s="22"/>
      <c r="T326" s="16"/>
      <c r="U326" s="16"/>
      <c r="V326" s="16"/>
      <c r="W326" s="16"/>
      <c r="X326" s="16"/>
      <c r="Y326" s="16"/>
      <c r="Z326" s="16"/>
      <c r="AA326" s="16"/>
      <c r="AB326" s="22"/>
    </row>
    <row r="327" spans="1:28" x14ac:dyDescent="0.3">
      <c r="A327" s="22"/>
      <c r="B327" s="22"/>
      <c r="C327" s="22"/>
      <c r="D327" s="22"/>
      <c r="E327" s="22"/>
      <c r="F327" s="22"/>
      <c r="G327" s="22"/>
      <c r="H327" s="22"/>
      <c r="I327" s="24" t="str">
        <f t="shared" ref="I327:I390" si="10">IF(H327="","",IF(H327-D327&lt;=30,"Yes","No"))</f>
        <v/>
      </c>
      <c r="J327" s="25" t="str">
        <f t="shared" ref="J327:J390" si="11">IF(H327&lt;&gt;"",TEXT(H327,"ddd"),"")</f>
        <v/>
      </c>
      <c r="K327" s="22"/>
      <c r="L327" s="22"/>
      <c r="M327" s="25" t="str">
        <f>IF(AND(L327&gt;=ref!$L$2,L327&lt;=ref!$M$2),ref!$K$2,IF(AND(L327&gt;=ref!$L$3,L327&lt;=ref!$M$3),ref!$K$3,IF(AND(L327&gt;=ref!$L$4,L327&lt;=ref!$M$4),ref!$K$4,IF(AND(L327&gt;=ref!$L$5,L327&lt;=ref!$M$5),ref!$K$5,IF(AND(L327&gt;=ref!$L$6,L327&lt;=ref!$M$6),ref!$K$6,IF(AND(L327&gt;=ref!$L$7,L327&lt;=ref!$M$7),ref!$K$7,IF(AND(L327&gt;=ref!$L$8,L327&lt;=ref!$M$8),ref!$K$8,IF(AND(L327&gt;=ref!$L$9,L327&lt;=ref!$M$9),ref!$K$9,IF(AND(L327&gt;=ref!$L$11,L327&lt;=ref!$M$11),ref!$K$11,IF(AND(L327&gt;=ref!$L$12,L327&lt;=ref!$M$12),ref!$K$12,""))))))))))</f>
        <v/>
      </c>
      <c r="N327" s="22"/>
      <c r="O327" s="16"/>
      <c r="P327" s="22"/>
      <c r="Q327" s="27"/>
      <c r="R327" s="22"/>
      <c r="S327" s="22"/>
      <c r="T327" s="16"/>
      <c r="U327" s="16"/>
      <c r="V327" s="16"/>
      <c r="W327" s="16"/>
      <c r="X327" s="16"/>
      <c r="Y327" s="16"/>
      <c r="Z327" s="16"/>
      <c r="AA327" s="16"/>
      <c r="AB327" s="22"/>
    </row>
    <row r="328" spans="1:28" x14ac:dyDescent="0.3">
      <c r="A328" s="22"/>
      <c r="B328" s="22"/>
      <c r="C328" s="22"/>
      <c r="D328" s="22"/>
      <c r="E328" s="22"/>
      <c r="F328" s="22"/>
      <c r="G328" s="22"/>
      <c r="H328" s="22"/>
      <c r="I328" s="24" t="str">
        <f t="shared" si="10"/>
        <v/>
      </c>
      <c r="J328" s="25" t="str">
        <f t="shared" si="11"/>
        <v/>
      </c>
      <c r="K328" s="22"/>
      <c r="L328" s="22"/>
      <c r="M328" s="25" t="str">
        <f>IF(AND(L328&gt;=ref!$L$2,L328&lt;=ref!$M$2),ref!$K$2,IF(AND(L328&gt;=ref!$L$3,L328&lt;=ref!$M$3),ref!$K$3,IF(AND(L328&gt;=ref!$L$4,L328&lt;=ref!$M$4),ref!$K$4,IF(AND(L328&gt;=ref!$L$5,L328&lt;=ref!$M$5),ref!$K$5,IF(AND(L328&gt;=ref!$L$6,L328&lt;=ref!$M$6),ref!$K$6,IF(AND(L328&gt;=ref!$L$7,L328&lt;=ref!$M$7),ref!$K$7,IF(AND(L328&gt;=ref!$L$8,L328&lt;=ref!$M$8),ref!$K$8,IF(AND(L328&gt;=ref!$L$9,L328&lt;=ref!$M$9),ref!$K$9,IF(AND(L328&gt;=ref!$L$11,L328&lt;=ref!$M$11),ref!$K$11,IF(AND(L328&gt;=ref!$L$12,L328&lt;=ref!$M$12),ref!$K$12,""))))))))))</f>
        <v/>
      </c>
      <c r="N328" s="22"/>
      <c r="O328" s="16"/>
      <c r="P328" s="22"/>
      <c r="Q328" s="27"/>
      <c r="R328" s="22"/>
      <c r="S328" s="22"/>
      <c r="T328" s="16"/>
      <c r="U328" s="16"/>
      <c r="V328" s="16"/>
      <c r="W328" s="16"/>
      <c r="X328" s="16"/>
      <c r="Y328" s="16"/>
      <c r="Z328" s="16"/>
      <c r="AA328" s="16"/>
      <c r="AB328" s="22"/>
    </row>
    <row r="329" spans="1:28" x14ac:dyDescent="0.3">
      <c r="A329" s="22"/>
      <c r="B329" s="22"/>
      <c r="C329" s="22"/>
      <c r="D329" s="22"/>
      <c r="E329" s="22"/>
      <c r="F329" s="22"/>
      <c r="G329" s="22"/>
      <c r="H329" s="22"/>
      <c r="I329" s="24" t="str">
        <f t="shared" si="10"/>
        <v/>
      </c>
      <c r="J329" s="25" t="str">
        <f t="shared" si="11"/>
        <v/>
      </c>
      <c r="K329" s="22"/>
      <c r="L329" s="22"/>
      <c r="M329" s="25" t="str">
        <f>IF(AND(L329&gt;=ref!$L$2,L329&lt;=ref!$M$2),ref!$K$2,IF(AND(L329&gt;=ref!$L$3,L329&lt;=ref!$M$3),ref!$K$3,IF(AND(L329&gt;=ref!$L$4,L329&lt;=ref!$M$4),ref!$K$4,IF(AND(L329&gt;=ref!$L$5,L329&lt;=ref!$M$5),ref!$K$5,IF(AND(L329&gt;=ref!$L$6,L329&lt;=ref!$M$6),ref!$K$6,IF(AND(L329&gt;=ref!$L$7,L329&lt;=ref!$M$7),ref!$K$7,IF(AND(L329&gt;=ref!$L$8,L329&lt;=ref!$M$8),ref!$K$8,IF(AND(L329&gt;=ref!$L$9,L329&lt;=ref!$M$9),ref!$K$9,IF(AND(L329&gt;=ref!$L$11,L329&lt;=ref!$M$11),ref!$K$11,IF(AND(L329&gt;=ref!$L$12,L329&lt;=ref!$M$12),ref!$K$12,""))))))))))</f>
        <v/>
      </c>
      <c r="N329" s="22"/>
      <c r="O329" s="16"/>
      <c r="P329" s="22"/>
      <c r="Q329" s="27"/>
      <c r="R329" s="22"/>
      <c r="S329" s="22"/>
      <c r="T329" s="16"/>
      <c r="U329" s="16"/>
      <c r="V329" s="16"/>
      <c r="W329" s="16"/>
      <c r="X329" s="16"/>
      <c r="Y329" s="16"/>
      <c r="Z329" s="16"/>
      <c r="AA329" s="16"/>
      <c r="AB329" s="22"/>
    </row>
    <row r="330" spans="1:28" x14ac:dyDescent="0.3">
      <c r="A330" s="22"/>
      <c r="B330" s="22"/>
      <c r="C330" s="22"/>
      <c r="D330" s="22"/>
      <c r="E330" s="22"/>
      <c r="F330" s="22"/>
      <c r="G330" s="22"/>
      <c r="H330" s="22"/>
      <c r="I330" s="24" t="str">
        <f t="shared" si="10"/>
        <v/>
      </c>
      <c r="J330" s="25" t="str">
        <f t="shared" si="11"/>
        <v/>
      </c>
      <c r="K330" s="22"/>
      <c r="L330" s="22"/>
      <c r="M330" s="25" t="str">
        <f>IF(AND(L330&gt;=ref!$L$2,L330&lt;=ref!$M$2),ref!$K$2,IF(AND(L330&gt;=ref!$L$3,L330&lt;=ref!$M$3),ref!$K$3,IF(AND(L330&gt;=ref!$L$4,L330&lt;=ref!$M$4),ref!$K$4,IF(AND(L330&gt;=ref!$L$5,L330&lt;=ref!$M$5),ref!$K$5,IF(AND(L330&gt;=ref!$L$6,L330&lt;=ref!$M$6),ref!$K$6,IF(AND(L330&gt;=ref!$L$7,L330&lt;=ref!$M$7),ref!$K$7,IF(AND(L330&gt;=ref!$L$8,L330&lt;=ref!$M$8),ref!$K$8,IF(AND(L330&gt;=ref!$L$9,L330&lt;=ref!$M$9),ref!$K$9,IF(AND(L330&gt;=ref!$L$11,L330&lt;=ref!$M$11),ref!$K$11,IF(AND(L330&gt;=ref!$L$12,L330&lt;=ref!$M$12),ref!$K$12,""))))))))))</f>
        <v/>
      </c>
      <c r="N330" s="22"/>
      <c r="O330" s="16"/>
      <c r="P330" s="22"/>
      <c r="Q330" s="27"/>
      <c r="R330" s="22"/>
      <c r="S330" s="22"/>
      <c r="T330" s="16"/>
      <c r="U330" s="16"/>
      <c r="V330" s="16"/>
      <c r="W330" s="16"/>
      <c r="X330" s="16"/>
      <c r="Y330" s="16"/>
      <c r="Z330" s="16"/>
      <c r="AA330" s="16"/>
      <c r="AB330" s="22"/>
    </row>
    <row r="331" spans="1:28" x14ac:dyDescent="0.3">
      <c r="A331" s="22"/>
      <c r="B331" s="22"/>
      <c r="C331" s="22"/>
      <c r="D331" s="22"/>
      <c r="E331" s="22"/>
      <c r="F331" s="22"/>
      <c r="G331" s="22"/>
      <c r="H331" s="22"/>
      <c r="I331" s="24" t="str">
        <f t="shared" si="10"/>
        <v/>
      </c>
      <c r="J331" s="25" t="str">
        <f t="shared" si="11"/>
        <v/>
      </c>
      <c r="K331" s="22"/>
      <c r="L331" s="22"/>
      <c r="M331" s="25" t="str">
        <f>IF(AND(L331&gt;=ref!$L$2,L331&lt;=ref!$M$2),ref!$K$2,IF(AND(L331&gt;=ref!$L$3,L331&lt;=ref!$M$3),ref!$K$3,IF(AND(L331&gt;=ref!$L$4,L331&lt;=ref!$M$4),ref!$K$4,IF(AND(L331&gt;=ref!$L$5,L331&lt;=ref!$M$5),ref!$K$5,IF(AND(L331&gt;=ref!$L$6,L331&lt;=ref!$M$6),ref!$K$6,IF(AND(L331&gt;=ref!$L$7,L331&lt;=ref!$M$7),ref!$K$7,IF(AND(L331&gt;=ref!$L$8,L331&lt;=ref!$M$8),ref!$K$8,IF(AND(L331&gt;=ref!$L$9,L331&lt;=ref!$M$9),ref!$K$9,IF(AND(L331&gt;=ref!$L$11,L331&lt;=ref!$M$11),ref!$K$11,IF(AND(L331&gt;=ref!$L$12,L331&lt;=ref!$M$12),ref!$K$12,""))))))))))</f>
        <v/>
      </c>
      <c r="N331" s="22"/>
      <c r="O331" s="16"/>
      <c r="P331" s="22"/>
      <c r="Q331" s="27"/>
      <c r="R331" s="22"/>
      <c r="S331" s="22"/>
      <c r="T331" s="16"/>
      <c r="U331" s="16"/>
      <c r="V331" s="16"/>
      <c r="W331" s="16"/>
      <c r="X331" s="16"/>
      <c r="Y331" s="16"/>
      <c r="Z331" s="16"/>
      <c r="AA331" s="16"/>
      <c r="AB331" s="22"/>
    </row>
    <row r="332" spans="1:28" x14ac:dyDescent="0.3">
      <c r="A332" s="22"/>
      <c r="B332" s="22"/>
      <c r="C332" s="22"/>
      <c r="D332" s="22"/>
      <c r="E332" s="22"/>
      <c r="F332" s="22"/>
      <c r="G332" s="22"/>
      <c r="H332" s="22"/>
      <c r="I332" s="24" t="str">
        <f t="shared" si="10"/>
        <v/>
      </c>
      <c r="J332" s="25" t="str">
        <f t="shared" si="11"/>
        <v/>
      </c>
      <c r="K332" s="22"/>
      <c r="L332" s="22"/>
      <c r="M332" s="25" t="str">
        <f>IF(AND(L332&gt;=ref!$L$2,L332&lt;=ref!$M$2),ref!$K$2,IF(AND(L332&gt;=ref!$L$3,L332&lt;=ref!$M$3),ref!$K$3,IF(AND(L332&gt;=ref!$L$4,L332&lt;=ref!$M$4),ref!$K$4,IF(AND(L332&gt;=ref!$L$5,L332&lt;=ref!$M$5),ref!$K$5,IF(AND(L332&gt;=ref!$L$6,L332&lt;=ref!$M$6),ref!$K$6,IF(AND(L332&gt;=ref!$L$7,L332&lt;=ref!$M$7),ref!$K$7,IF(AND(L332&gt;=ref!$L$8,L332&lt;=ref!$M$8),ref!$K$8,IF(AND(L332&gt;=ref!$L$9,L332&lt;=ref!$M$9),ref!$K$9,IF(AND(L332&gt;=ref!$L$11,L332&lt;=ref!$M$11),ref!$K$11,IF(AND(L332&gt;=ref!$L$12,L332&lt;=ref!$M$12),ref!$K$12,""))))))))))</f>
        <v/>
      </c>
      <c r="N332" s="22"/>
      <c r="O332" s="16"/>
      <c r="P332" s="22"/>
      <c r="Q332" s="27"/>
      <c r="R332" s="22"/>
      <c r="S332" s="22"/>
      <c r="T332" s="16"/>
      <c r="U332" s="16"/>
      <c r="V332" s="16"/>
      <c r="W332" s="16"/>
      <c r="X332" s="16"/>
      <c r="Y332" s="16"/>
      <c r="Z332" s="16"/>
      <c r="AA332" s="16"/>
      <c r="AB332" s="22"/>
    </row>
    <row r="333" spans="1:28" x14ac:dyDescent="0.3">
      <c r="A333" s="22"/>
      <c r="B333" s="22"/>
      <c r="C333" s="22"/>
      <c r="D333" s="22"/>
      <c r="E333" s="22"/>
      <c r="F333" s="22"/>
      <c r="G333" s="22"/>
      <c r="H333" s="22"/>
      <c r="I333" s="24" t="str">
        <f t="shared" si="10"/>
        <v/>
      </c>
      <c r="J333" s="25" t="str">
        <f t="shared" si="11"/>
        <v/>
      </c>
      <c r="K333" s="22"/>
      <c r="L333" s="22"/>
      <c r="M333" s="25" t="str">
        <f>IF(AND(L333&gt;=ref!$L$2,L333&lt;=ref!$M$2),ref!$K$2,IF(AND(L333&gt;=ref!$L$3,L333&lt;=ref!$M$3),ref!$K$3,IF(AND(L333&gt;=ref!$L$4,L333&lt;=ref!$M$4),ref!$K$4,IF(AND(L333&gt;=ref!$L$5,L333&lt;=ref!$M$5),ref!$K$5,IF(AND(L333&gt;=ref!$L$6,L333&lt;=ref!$M$6),ref!$K$6,IF(AND(L333&gt;=ref!$L$7,L333&lt;=ref!$M$7),ref!$K$7,IF(AND(L333&gt;=ref!$L$8,L333&lt;=ref!$M$8),ref!$K$8,IF(AND(L333&gt;=ref!$L$9,L333&lt;=ref!$M$9),ref!$K$9,IF(AND(L333&gt;=ref!$L$11,L333&lt;=ref!$M$11),ref!$K$11,IF(AND(L333&gt;=ref!$L$12,L333&lt;=ref!$M$12),ref!$K$12,""))))))))))</f>
        <v/>
      </c>
      <c r="N333" s="22"/>
      <c r="O333" s="16"/>
      <c r="P333" s="22"/>
      <c r="Q333" s="27"/>
      <c r="R333" s="22"/>
      <c r="S333" s="22"/>
      <c r="T333" s="16"/>
      <c r="U333" s="16"/>
      <c r="V333" s="16"/>
      <c r="W333" s="16"/>
      <c r="X333" s="16"/>
      <c r="Y333" s="16"/>
      <c r="Z333" s="16"/>
      <c r="AA333" s="16"/>
      <c r="AB333" s="22"/>
    </row>
    <row r="334" spans="1:28" x14ac:dyDescent="0.3">
      <c r="A334" s="22"/>
      <c r="B334" s="22"/>
      <c r="C334" s="22"/>
      <c r="D334" s="22"/>
      <c r="E334" s="22"/>
      <c r="F334" s="22"/>
      <c r="G334" s="22"/>
      <c r="H334" s="22"/>
      <c r="I334" s="24" t="str">
        <f t="shared" si="10"/>
        <v/>
      </c>
      <c r="J334" s="25" t="str">
        <f t="shared" si="11"/>
        <v/>
      </c>
      <c r="K334" s="22"/>
      <c r="L334" s="22"/>
      <c r="M334" s="25" t="str">
        <f>IF(AND(L334&gt;=ref!$L$2,L334&lt;=ref!$M$2),ref!$K$2,IF(AND(L334&gt;=ref!$L$3,L334&lt;=ref!$M$3),ref!$K$3,IF(AND(L334&gt;=ref!$L$4,L334&lt;=ref!$M$4),ref!$K$4,IF(AND(L334&gt;=ref!$L$5,L334&lt;=ref!$M$5),ref!$K$5,IF(AND(L334&gt;=ref!$L$6,L334&lt;=ref!$M$6),ref!$K$6,IF(AND(L334&gt;=ref!$L$7,L334&lt;=ref!$M$7),ref!$K$7,IF(AND(L334&gt;=ref!$L$8,L334&lt;=ref!$M$8),ref!$K$8,IF(AND(L334&gt;=ref!$L$9,L334&lt;=ref!$M$9),ref!$K$9,IF(AND(L334&gt;=ref!$L$11,L334&lt;=ref!$M$11),ref!$K$11,IF(AND(L334&gt;=ref!$L$12,L334&lt;=ref!$M$12),ref!$K$12,""))))))))))</f>
        <v/>
      </c>
      <c r="N334" s="22"/>
      <c r="O334" s="16"/>
      <c r="P334" s="22"/>
      <c r="Q334" s="27"/>
      <c r="R334" s="22"/>
      <c r="S334" s="22"/>
      <c r="T334" s="16"/>
      <c r="U334" s="16"/>
      <c r="V334" s="16"/>
      <c r="W334" s="16"/>
      <c r="X334" s="16"/>
      <c r="Y334" s="16"/>
      <c r="Z334" s="16"/>
      <c r="AA334" s="16"/>
      <c r="AB334" s="22"/>
    </row>
    <row r="335" spans="1:28" x14ac:dyDescent="0.3">
      <c r="A335" s="22"/>
      <c r="B335" s="22"/>
      <c r="C335" s="22"/>
      <c r="D335" s="22"/>
      <c r="E335" s="22"/>
      <c r="F335" s="22"/>
      <c r="G335" s="22"/>
      <c r="H335" s="22"/>
      <c r="I335" s="24" t="str">
        <f t="shared" si="10"/>
        <v/>
      </c>
      <c r="J335" s="25" t="str">
        <f t="shared" si="11"/>
        <v/>
      </c>
      <c r="K335" s="22"/>
      <c r="L335" s="22"/>
      <c r="M335" s="25" t="str">
        <f>IF(AND(L335&gt;=ref!$L$2,L335&lt;=ref!$M$2),ref!$K$2,IF(AND(L335&gt;=ref!$L$3,L335&lt;=ref!$M$3),ref!$K$3,IF(AND(L335&gt;=ref!$L$4,L335&lt;=ref!$M$4),ref!$K$4,IF(AND(L335&gt;=ref!$L$5,L335&lt;=ref!$M$5),ref!$K$5,IF(AND(L335&gt;=ref!$L$6,L335&lt;=ref!$M$6),ref!$K$6,IF(AND(L335&gt;=ref!$L$7,L335&lt;=ref!$M$7),ref!$K$7,IF(AND(L335&gt;=ref!$L$8,L335&lt;=ref!$M$8),ref!$K$8,IF(AND(L335&gt;=ref!$L$9,L335&lt;=ref!$M$9),ref!$K$9,IF(AND(L335&gt;=ref!$L$11,L335&lt;=ref!$M$11),ref!$K$11,IF(AND(L335&gt;=ref!$L$12,L335&lt;=ref!$M$12),ref!$K$12,""))))))))))</f>
        <v/>
      </c>
      <c r="N335" s="22"/>
      <c r="O335" s="16"/>
      <c r="P335" s="22"/>
      <c r="Q335" s="27"/>
      <c r="R335" s="22"/>
      <c r="S335" s="22"/>
      <c r="T335" s="16"/>
      <c r="U335" s="16"/>
      <c r="V335" s="16"/>
      <c r="W335" s="16"/>
      <c r="X335" s="16"/>
      <c r="Y335" s="16"/>
      <c r="Z335" s="16"/>
      <c r="AA335" s="16"/>
      <c r="AB335" s="22"/>
    </row>
    <row r="336" spans="1:28" x14ac:dyDescent="0.3">
      <c r="A336" s="22"/>
      <c r="B336" s="22"/>
      <c r="C336" s="22"/>
      <c r="D336" s="22"/>
      <c r="E336" s="22"/>
      <c r="F336" s="22"/>
      <c r="G336" s="22"/>
      <c r="H336" s="22"/>
      <c r="I336" s="24" t="str">
        <f t="shared" si="10"/>
        <v/>
      </c>
      <c r="J336" s="25" t="str">
        <f t="shared" si="11"/>
        <v/>
      </c>
      <c r="K336" s="22"/>
      <c r="L336" s="22"/>
      <c r="M336" s="25" t="str">
        <f>IF(AND(L336&gt;=ref!$L$2,L336&lt;=ref!$M$2),ref!$K$2,IF(AND(L336&gt;=ref!$L$3,L336&lt;=ref!$M$3),ref!$K$3,IF(AND(L336&gt;=ref!$L$4,L336&lt;=ref!$M$4),ref!$K$4,IF(AND(L336&gt;=ref!$L$5,L336&lt;=ref!$M$5),ref!$K$5,IF(AND(L336&gt;=ref!$L$6,L336&lt;=ref!$M$6),ref!$K$6,IF(AND(L336&gt;=ref!$L$7,L336&lt;=ref!$M$7),ref!$K$7,IF(AND(L336&gt;=ref!$L$8,L336&lt;=ref!$M$8),ref!$K$8,IF(AND(L336&gt;=ref!$L$9,L336&lt;=ref!$M$9),ref!$K$9,IF(AND(L336&gt;=ref!$L$11,L336&lt;=ref!$M$11),ref!$K$11,IF(AND(L336&gt;=ref!$L$12,L336&lt;=ref!$M$12),ref!$K$12,""))))))))))</f>
        <v/>
      </c>
      <c r="N336" s="22"/>
      <c r="O336" s="16"/>
      <c r="P336" s="22"/>
      <c r="Q336" s="27"/>
      <c r="R336" s="22"/>
      <c r="S336" s="22"/>
      <c r="T336" s="16"/>
      <c r="U336" s="16"/>
      <c r="V336" s="16"/>
      <c r="W336" s="16"/>
      <c r="X336" s="16"/>
      <c r="Y336" s="16"/>
      <c r="Z336" s="16"/>
      <c r="AA336" s="16"/>
      <c r="AB336" s="22"/>
    </row>
    <row r="337" spans="1:28" x14ac:dyDescent="0.3">
      <c r="A337" s="22"/>
      <c r="B337" s="22"/>
      <c r="C337" s="22"/>
      <c r="D337" s="22"/>
      <c r="E337" s="22"/>
      <c r="F337" s="22"/>
      <c r="G337" s="22"/>
      <c r="H337" s="22"/>
      <c r="I337" s="24" t="str">
        <f t="shared" si="10"/>
        <v/>
      </c>
      <c r="J337" s="25" t="str">
        <f t="shared" si="11"/>
        <v/>
      </c>
      <c r="K337" s="22"/>
      <c r="L337" s="22"/>
      <c r="M337" s="25" t="str">
        <f>IF(AND(L337&gt;=ref!$L$2,L337&lt;=ref!$M$2),ref!$K$2,IF(AND(L337&gt;=ref!$L$3,L337&lt;=ref!$M$3),ref!$K$3,IF(AND(L337&gt;=ref!$L$4,L337&lt;=ref!$M$4),ref!$K$4,IF(AND(L337&gt;=ref!$L$5,L337&lt;=ref!$M$5),ref!$K$5,IF(AND(L337&gt;=ref!$L$6,L337&lt;=ref!$M$6),ref!$K$6,IF(AND(L337&gt;=ref!$L$7,L337&lt;=ref!$M$7),ref!$K$7,IF(AND(L337&gt;=ref!$L$8,L337&lt;=ref!$M$8),ref!$K$8,IF(AND(L337&gt;=ref!$L$9,L337&lt;=ref!$M$9),ref!$K$9,IF(AND(L337&gt;=ref!$L$11,L337&lt;=ref!$M$11),ref!$K$11,IF(AND(L337&gt;=ref!$L$12,L337&lt;=ref!$M$12),ref!$K$12,""))))))))))</f>
        <v/>
      </c>
      <c r="N337" s="22"/>
      <c r="O337" s="16"/>
      <c r="P337" s="22"/>
      <c r="Q337" s="27"/>
      <c r="R337" s="22"/>
      <c r="S337" s="22"/>
      <c r="T337" s="16"/>
      <c r="U337" s="16"/>
      <c r="V337" s="16"/>
      <c r="W337" s="16"/>
      <c r="X337" s="16"/>
      <c r="Y337" s="16"/>
      <c r="Z337" s="16"/>
      <c r="AA337" s="16"/>
      <c r="AB337" s="22"/>
    </row>
    <row r="338" spans="1:28" x14ac:dyDescent="0.3">
      <c r="A338" s="22"/>
      <c r="B338" s="22"/>
      <c r="C338" s="22"/>
      <c r="D338" s="22"/>
      <c r="E338" s="22"/>
      <c r="F338" s="22"/>
      <c r="G338" s="22"/>
      <c r="H338" s="22"/>
      <c r="I338" s="24" t="str">
        <f t="shared" si="10"/>
        <v/>
      </c>
      <c r="J338" s="25" t="str">
        <f t="shared" si="11"/>
        <v/>
      </c>
      <c r="K338" s="22"/>
      <c r="L338" s="22"/>
      <c r="M338" s="25" t="str">
        <f>IF(AND(L338&gt;=ref!$L$2,L338&lt;=ref!$M$2),ref!$K$2,IF(AND(L338&gt;=ref!$L$3,L338&lt;=ref!$M$3),ref!$K$3,IF(AND(L338&gt;=ref!$L$4,L338&lt;=ref!$M$4),ref!$K$4,IF(AND(L338&gt;=ref!$L$5,L338&lt;=ref!$M$5),ref!$K$5,IF(AND(L338&gt;=ref!$L$6,L338&lt;=ref!$M$6),ref!$K$6,IF(AND(L338&gt;=ref!$L$7,L338&lt;=ref!$M$7),ref!$K$7,IF(AND(L338&gt;=ref!$L$8,L338&lt;=ref!$M$8),ref!$K$8,IF(AND(L338&gt;=ref!$L$9,L338&lt;=ref!$M$9),ref!$K$9,IF(AND(L338&gt;=ref!$L$11,L338&lt;=ref!$M$11),ref!$K$11,IF(AND(L338&gt;=ref!$L$12,L338&lt;=ref!$M$12),ref!$K$12,""))))))))))</f>
        <v/>
      </c>
      <c r="N338" s="22"/>
      <c r="O338" s="16"/>
      <c r="P338" s="22"/>
      <c r="Q338" s="27"/>
      <c r="R338" s="22"/>
      <c r="S338" s="22"/>
      <c r="T338" s="16"/>
      <c r="U338" s="16"/>
      <c r="V338" s="16"/>
      <c r="W338" s="16"/>
      <c r="X338" s="16"/>
      <c r="Y338" s="16"/>
      <c r="Z338" s="16"/>
      <c r="AA338" s="16"/>
      <c r="AB338" s="22"/>
    </row>
    <row r="339" spans="1:28" x14ac:dyDescent="0.3">
      <c r="A339" s="22"/>
      <c r="B339" s="22"/>
      <c r="C339" s="22"/>
      <c r="D339" s="22"/>
      <c r="E339" s="22"/>
      <c r="F339" s="22"/>
      <c r="G339" s="22"/>
      <c r="H339" s="22"/>
      <c r="I339" s="24" t="str">
        <f t="shared" si="10"/>
        <v/>
      </c>
      <c r="J339" s="25" t="str">
        <f t="shared" si="11"/>
        <v/>
      </c>
      <c r="K339" s="22"/>
      <c r="L339" s="22"/>
      <c r="M339" s="25" t="str">
        <f>IF(AND(L339&gt;=ref!$L$2,L339&lt;=ref!$M$2),ref!$K$2,IF(AND(L339&gt;=ref!$L$3,L339&lt;=ref!$M$3),ref!$K$3,IF(AND(L339&gt;=ref!$L$4,L339&lt;=ref!$M$4),ref!$K$4,IF(AND(L339&gt;=ref!$L$5,L339&lt;=ref!$M$5),ref!$K$5,IF(AND(L339&gt;=ref!$L$6,L339&lt;=ref!$M$6),ref!$K$6,IF(AND(L339&gt;=ref!$L$7,L339&lt;=ref!$M$7),ref!$K$7,IF(AND(L339&gt;=ref!$L$8,L339&lt;=ref!$M$8),ref!$K$8,IF(AND(L339&gt;=ref!$L$9,L339&lt;=ref!$M$9),ref!$K$9,IF(AND(L339&gt;=ref!$L$11,L339&lt;=ref!$M$11),ref!$K$11,IF(AND(L339&gt;=ref!$L$12,L339&lt;=ref!$M$12),ref!$K$12,""))))))))))</f>
        <v/>
      </c>
      <c r="N339" s="22"/>
      <c r="O339" s="16"/>
      <c r="P339" s="22"/>
      <c r="Q339" s="27"/>
      <c r="R339" s="22"/>
      <c r="S339" s="22"/>
      <c r="T339" s="16"/>
      <c r="U339" s="16"/>
      <c r="V339" s="16"/>
      <c r="W339" s="16"/>
      <c r="X339" s="16"/>
      <c r="Y339" s="16"/>
      <c r="Z339" s="16"/>
      <c r="AA339" s="16"/>
      <c r="AB339" s="22"/>
    </row>
    <row r="340" spans="1:28" x14ac:dyDescent="0.3">
      <c r="A340" s="22"/>
      <c r="B340" s="22"/>
      <c r="C340" s="22"/>
      <c r="D340" s="22"/>
      <c r="E340" s="22"/>
      <c r="F340" s="22"/>
      <c r="G340" s="22"/>
      <c r="H340" s="22"/>
      <c r="I340" s="24" t="str">
        <f t="shared" si="10"/>
        <v/>
      </c>
      <c r="J340" s="25" t="str">
        <f t="shared" si="11"/>
        <v/>
      </c>
      <c r="K340" s="22"/>
      <c r="L340" s="22"/>
      <c r="M340" s="25" t="str">
        <f>IF(AND(L340&gt;=ref!$L$2,L340&lt;=ref!$M$2),ref!$K$2,IF(AND(L340&gt;=ref!$L$3,L340&lt;=ref!$M$3),ref!$K$3,IF(AND(L340&gt;=ref!$L$4,L340&lt;=ref!$M$4),ref!$K$4,IF(AND(L340&gt;=ref!$L$5,L340&lt;=ref!$M$5),ref!$K$5,IF(AND(L340&gt;=ref!$L$6,L340&lt;=ref!$M$6),ref!$K$6,IF(AND(L340&gt;=ref!$L$7,L340&lt;=ref!$M$7),ref!$K$7,IF(AND(L340&gt;=ref!$L$8,L340&lt;=ref!$M$8),ref!$K$8,IF(AND(L340&gt;=ref!$L$9,L340&lt;=ref!$M$9),ref!$K$9,IF(AND(L340&gt;=ref!$L$11,L340&lt;=ref!$M$11),ref!$K$11,IF(AND(L340&gt;=ref!$L$12,L340&lt;=ref!$M$12),ref!$K$12,""))))))))))</f>
        <v/>
      </c>
      <c r="N340" s="22"/>
      <c r="O340" s="16"/>
      <c r="P340" s="22"/>
      <c r="Q340" s="27"/>
      <c r="R340" s="22"/>
      <c r="S340" s="22"/>
      <c r="T340" s="16"/>
      <c r="U340" s="16"/>
      <c r="V340" s="16"/>
      <c r="W340" s="16"/>
      <c r="X340" s="16"/>
      <c r="Y340" s="16"/>
      <c r="Z340" s="16"/>
      <c r="AA340" s="16"/>
      <c r="AB340" s="22"/>
    </row>
    <row r="341" spans="1:28" x14ac:dyDescent="0.3">
      <c r="A341" s="22"/>
      <c r="B341" s="22"/>
      <c r="C341" s="22"/>
      <c r="D341" s="22"/>
      <c r="E341" s="22"/>
      <c r="F341" s="22"/>
      <c r="G341" s="22"/>
      <c r="H341" s="22"/>
      <c r="I341" s="24" t="str">
        <f t="shared" si="10"/>
        <v/>
      </c>
      <c r="J341" s="25" t="str">
        <f t="shared" si="11"/>
        <v/>
      </c>
      <c r="K341" s="22"/>
      <c r="L341" s="22"/>
      <c r="M341" s="25" t="str">
        <f>IF(AND(L341&gt;=ref!$L$2,L341&lt;=ref!$M$2),ref!$K$2,IF(AND(L341&gt;=ref!$L$3,L341&lt;=ref!$M$3),ref!$K$3,IF(AND(L341&gt;=ref!$L$4,L341&lt;=ref!$M$4),ref!$K$4,IF(AND(L341&gt;=ref!$L$5,L341&lt;=ref!$M$5),ref!$K$5,IF(AND(L341&gt;=ref!$L$6,L341&lt;=ref!$M$6),ref!$K$6,IF(AND(L341&gt;=ref!$L$7,L341&lt;=ref!$M$7),ref!$K$7,IF(AND(L341&gt;=ref!$L$8,L341&lt;=ref!$M$8),ref!$K$8,IF(AND(L341&gt;=ref!$L$9,L341&lt;=ref!$M$9),ref!$K$9,IF(AND(L341&gt;=ref!$L$11,L341&lt;=ref!$M$11),ref!$K$11,IF(AND(L341&gt;=ref!$L$12,L341&lt;=ref!$M$12),ref!$K$12,""))))))))))</f>
        <v/>
      </c>
      <c r="N341" s="22"/>
      <c r="O341" s="16"/>
      <c r="P341" s="22"/>
      <c r="Q341" s="27"/>
      <c r="R341" s="22"/>
      <c r="S341" s="22"/>
      <c r="T341" s="16"/>
      <c r="U341" s="16"/>
      <c r="V341" s="16"/>
      <c r="W341" s="16"/>
      <c r="X341" s="16"/>
      <c r="Y341" s="16"/>
      <c r="Z341" s="16"/>
      <c r="AA341" s="16"/>
      <c r="AB341" s="22"/>
    </row>
    <row r="342" spans="1:28" x14ac:dyDescent="0.3">
      <c r="A342" s="22"/>
      <c r="B342" s="22"/>
      <c r="C342" s="22"/>
      <c r="D342" s="22"/>
      <c r="E342" s="22"/>
      <c r="F342" s="22"/>
      <c r="G342" s="22"/>
      <c r="H342" s="22"/>
      <c r="I342" s="24" t="str">
        <f t="shared" si="10"/>
        <v/>
      </c>
      <c r="J342" s="25" t="str">
        <f t="shared" si="11"/>
        <v/>
      </c>
      <c r="K342" s="22"/>
      <c r="L342" s="22"/>
      <c r="M342" s="25" t="str">
        <f>IF(AND(L342&gt;=ref!$L$2,L342&lt;=ref!$M$2),ref!$K$2,IF(AND(L342&gt;=ref!$L$3,L342&lt;=ref!$M$3),ref!$K$3,IF(AND(L342&gt;=ref!$L$4,L342&lt;=ref!$M$4),ref!$K$4,IF(AND(L342&gt;=ref!$L$5,L342&lt;=ref!$M$5),ref!$K$5,IF(AND(L342&gt;=ref!$L$6,L342&lt;=ref!$M$6),ref!$K$6,IF(AND(L342&gt;=ref!$L$7,L342&lt;=ref!$M$7),ref!$K$7,IF(AND(L342&gt;=ref!$L$8,L342&lt;=ref!$M$8),ref!$K$8,IF(AND(L342&gt;=ref!$L$9,L342&lt;=ref!$M$9),ref!$K$9,IF(AND(L342&gt;=ref!$L$11,L342&lt;=ref!$M$11),ref!$K$11,IF(AND(L342&gt;=ref!$L$12,L342&lt;=ref!$M$12),ref!$K$12,""))))))))))</f>
        <v/>
      </c>
      <c r="N342" s="22"/>
      <c r="O342" s="16"/>
      <c r="P342" s="22"/>
      <c r="Q342" s="27"/>
      <c r="R342" s="22"/>
      <c r="S342" s="22"/>
      <c r="T342" s="16"/>
      <c r="U342" s="16"/>
      <c r="V342" s="16"/>
      <c r="W342" s="16"/>
      <c r="X342" s="16"/>
      <c r="Y342" s="16"/>
      <c r="Z342" s="16"/>
      <c r="AA342" s="16"/>
      <c r="AB342" s="22"/>
    </row>
    <row r="343" spans="1:28" x14ac:dyDescent="0.3">
      <c r="A343" s="22"/>
      <c r="B343" s="22"/>
      <c r="C343" s="22"/>
      <c r="D343" s="22"/>
      <c r="E343" s="22"/>
      <c r="F343" s="22"/>
      <c r="G343" s="22"/>
      <c r="H343" s="22"/>
      <c r="I343" s="24" t="str">
        <f t="shared" si="10"/>
        <v/>
      </c>
      <c r="J343" s="25" t="str">
        <f t="shared" si="11"/>
        <v/>
      </c>
      <c r="K343" s="22"/>
      <c r="L343" s="22"/>
      <c r="M343" s="25" t="str">
        <f>IF(AND(L343&gt;=ref!$L$2,L343&lt;=ref!$M$2),ref!$K$2,IF(AND(L343&gt;=ref!$L$3,L343&lt;=ref!$M$3),ref!$K$3,IF(AND(L343&gt;=ref!$L$4,L343&lt;=ref!$M$4),ref!$K$4,IF(AND(L343&gt;=ref!$L$5,L343&lt;=ref!$M$5),ref!$K$5,IF(AND(L343&gt;=ref!$L$6,L343&lt;=ref!$M$6),ref!$K$6,IF(AND(L343&gt;=ref!$L$7,L343&lt;=ref!$M$7),ref!$K$7,IF(AND(L343&gt;=ref!$L$8,L343&lt;=ref!$M$8),ref!$K$8,IF(AND(L343&gt;=ref!$L$9,L343&lt;=ref!$M$9),ref!$K$9,IF(AND(L343&gt;=ref!$L$11,L343&lt;=ref!$M$11),ref!$K$11,IF(AND(L343&gt;=ref!$L$12,L343&lt;=ref!$M$12),ref!$K$12,""))))))))))</f>
        <v/>
      </c>
      <c r="N343" s="22"/>
      <c r="O343" s="16"/>
      <c r="P343" s="22"/>
      <c r="Q343" s="27"/>
      <c r="R343" s="22"/>
      <c r="S343" s="22"/>
      <c r="T343" s="16"/>
      <c r="U343" s="16"/>
      <c r="V343" s="16"/>
      <c r="W343" s="16"/>
      <c r="X343" s="16"/>
      <c r="Y343" s="16"/>
      <c r="Z343" s="16"/>
      <c r="AA343" s="16"/>
      <c r="AB343" s="22"/>
    </row>
    <row r="344" spans="1:28" x14ac:dyDescent="0.3">
      <c r="A344" s="22"/>
      <c r="B344" s="22"/>
      <c r="C344" s="22"/>
      <c r="D344" s="22"/>
      <c r="E344" s="22"/>
      <c r="F344" s="22"/>
      <c r="G344" s="22"/>
      <c r="H344" s="22"/>
      <c r="I344" s="24" t="str">
        <f t="shared" si="10"/>
        <v/>
      </c>
      <c r="J344" s="25" t="str">
        <f t="shared" si="11"/>
        <v/>
      </c>
      <c r="K344" s="22"/>
      <c r="L344" s="22"/>
      <c r="M344" s="25" t="str">
        <f>IF(AND(L344&gt;=ref!$L$2,L344&lt;=ref!$M$2),ref!$K$2,IF(AND(L344&gt;=ref!$L$3,L344&lt;=ref!$M$3),ref!$K$3,IF(AND(L344&gt;=ref!$L$4,L344&lt;=ref!$M$4),ref!$K$4,IF(AND(L344&gt;=ref!$L$5,L344&lt;=ref!$M$5),ref!$K$5,IF(AND(L344&gt;=ref!$L$6,L344&lt;=ref!$M$6),ref!$K$6,IF(AND(L344&gt;=ref!$L$7,L344&lt;=ref!$M$7),ref!$K$7,IF(AND(L344&gt;=ref!$L$8,L344&lt;=ref!$M$8),ref!$K$8,IF(AND(L344&gt;=ref!$L$9,L344&lt;=ref!$M$9),ref!$K$9,IF(AND(L344&gt;=ref!$L$11,L344&lt;=ref!$M$11),ref!$K$11,IF(AND(L344&gt;=ref!$L$12,L344&lt;=ref!$M$12),ref!$K$12,""))))))))))</f>
        <v/>
      </c>
      <c r="N344" s="22"/>
      <c r="O344" s="16"/>
      <c r="P344" s="22"/>
      <c r="Q344" s="27"/>
      <c r="R344" s="22"/>
      <c r="S344" s="22"/>
      <c r="T344" s="16"/>
      <c r="U344" s="16"/>
      <c r="V344" s="16"/>
      <c r="W344" s="16"/>
      <c r="X344" s="16"/>
      <c r="Y344" s="16"/>
      <c r="Z344" s="16"/>
      <c r="AA344" s="16"/>
      <c r="AB344" s="22"/>
    </row>
    <row r="345" spans="1:28" x14ac:dyDescent="0.3">
      <c r="A345" s="22"/>
      <c r="B345" s="22"/>
      <c r="C345" s="22"/>
      <c r="D345" s="22"/>
      <c r="E345" s="22"/>
      <c r="F345" s="22"/>
      <c r="G345" s="22"/>
      <c r="H345" s="22"/>
      <c r="I345" s="24" t="str">
        <f t="shared" si="10"/>
        <v/>
      </c>
      <c r="J345" s="25" t="str">
        <f t="shared" si="11"/>
        <v/>
      </c>
      <c r="K345" s="22"/>
      <c r="L345" s="22"/>
      <c r="M345" s="25" t="str">
        <f>IF(AND(L345&gt;=ref!$L$2,L345&lt;=ref!$M$2),ref!$K$2,IF(AND(L345&gt;=ref!$L$3,L345&lt;=ref!$M$3),ref!$K$3,IF(AND(L345&gt;=ref!$L$4,L345&lt;=ref!$M$4),ref!$K$4,IF(AND(L345&gt;=ref!$L$5,L345&lt;=ref!$M$5),ref!$K$5,IF(AND(L345&gt;=ref!$L$6,L345&lt;=ref!$M$6),ref!$K$6,IF(AND(L345&gt;=ref!$L$7,L345&lt;=ref!$M$7),ref!$K$7,IF(AND(L345&gt;=ref!$L$8,L345&lt;=ref!$M$8),ref!$K$8,IF(AND(L345&gt;=ref!$L$9,L345&lt;=ref!$M$9),ref!$K$9,IF(AND(L345&gt;=ref!$L$11,L345&lt;=ref!$M$11),ref!$K$11,IF(AND(L345&gt;=ref!$L$12,L345&lt;=ref!$M$12),ref!$K$12,""))))))))))</f>
        <v/>
      </c>
      <c r="N345" s="22"/>
      <c r="O345" s="16"/>
      <c r="P345" s="22"/>
      <c r="Q345" s="27"/>
      <c r="R345" s="22"/>
      <c r="S345" s="22"/>
      <c r="T345" s="16"/>
      <c r="U345" s="16"/>
      <c r="V345" s="16"/>
      <c r="W345" s="16"/>
      <c r="X345" s="16"/>
      <c r="Y345" s="16"/>
      <c r="Z345" s="16"/>
      <c r="AA345" s="16"/>
      <c r="AB345" s="22"/>
    </row>
    <row r="346" spans="1:28" x14ac:dyDescent="0.3">
      <c r="A346" s="22"/>
      <c r="B346" s="22"/>
      <c r="C346" s="22"/>
      <c r="D346" s="22"/>
      <c r="E346" s="22"/>
      <c r="F346" s="22"/>
      <c r="G346" s="22"/>
      <c r="H346" s="22"/>
      <c r="I346" s="24" t="str">
        <f t="shared" si="10"/>
        <v/>
      </c>
      <c r="J346" s="25" t="str">
        <f t="shared" si="11"/>
        <v/>
      </c>
      <c r="K346" s="22"/>
      <c r="L346" s="22"/>
      <c r="M346" s="25" t="str">
        <f>IF(AND(L346&gt;=ref!$L$2,L346&lt;=ref!$M$2),ref!$K$2,IF(AND(L346&gt;=ref!$L$3,L346&lt;=ref!$M$3),ref!$K$3,IF(AND(L346&gt;=ref!$L$4,L346&lt;=ref!$M$4),ref!$K$4,IF(AND(L346&gt;=ref!$L$5,L346&lt;=ref!$M$5),ref!$K$5,IF(AND(L346&gt;=ref!$L$6,L346&lt;=ref!$M$6),ref!$K$6,IF(AND(L346&gt;=ref!$L$7,L346&lt;=ref!$M$7),ref!$K$7,IF(AND(L346&gt;=ref!$L$8,L346&lt;=ref!$M$8),ref!$K$8,IF(AND(L346&gt;=ref!$L$9,L346&lt;=ref!$M$9),ref!$K$9,IF(AND(L346&gt;=ref!$L$11,L346&lt;=ref!$M$11),ref!$K$11,IF(AND(L346&gt;=ref!$L$12,L346&lt;=ref!$M$12),ref!$K$12,""))))))))))</f>
        <v/>
      </c>
      <c r="N346" s="22"/>
      <c r="O346" s="16"/>
      <c r="P346" s="22"/>
      <c r="Q346" s="27"/>
      <c r="R346" s="22"/>
      <c r="S346" s="22"/>
      <c r="T346" s="16"/>
      <c r="U346" s="16"/>
      <c r="V346" s="16"/>
      <c r="W346" s="16"/>
      <c r="X346" s="16"/>
      <c r="Y346" s="16"/>
      <c r="Z346" s="16"/>
      <c r="AA346" s="16"/>
      <c r="AB346" s="22"/>
    </row>
    <row r="347" spans="1:28" x14ac:dyDescent="0.3">
      <c r="A347" s="22"/>
      <c r="B347" s="22"/>
      <c r="C347" s="22"/>
      <c r="D347" s="22"/>
      <c r="E347" s="22"/>
      <c r="F347" s="22"/>
      <c r="G347" s="22"/>
      <c r="H347" s="22"/>
      <c r="I347" s="24" t="str">
        <f t="shared" si="10"/>
        <v/>
      </c>
      <c r="J347" s="25" t="str">
        <f t="shared" si="11"/>
        <v/>
      </c>
      <c r="K347" s="22"/>
      <c r="L347" s="22"/>
      <c r="M347" s="25" t="str">
        <f>IF(AND(L347&gt;=ref!$L$2,L347&lt;=ref!$M$2),ref!$K$2,IF(AND(L347&gt;=ref!$L$3,L347&lt;=ref!$M$3),ref!$K$3,IF(AND(L347&gt;=ref!$L$4,L347&lt;=ref!$M$4),ref!$K$4,IF(AND(L347&gt;=ref!$L$5,L347&lt;=ref!$M$5),ref!$K$5,IF(AND(L347&gt;=ref!$L$6,L347&lt;=ref!$M$6),ref!$K$6,IF(AND(L347&gt;=ref!$L$7,L347&lt;=ref!$M$7),ref!$K$7,IF(AND(L347&gt;=ref!$L$8,L347&lt;=ref!$M$8),ref!$K$8,IF(AND(L347&gt;=ref!$L$9,L347&lt;=ref!$M$9),ref!$K$9,IF(AND(L347&gt;=ref!$L$11,L347&lt;=ref!$M$11),ref!$K$11,IF(AND(L347&gt;=ref!$L$12,L347&lt;=ref!$M$12),ref!$K$12,""))))))))))</f>
        <v/>
      </c>
      <c r="N347" s="22"/>
      <c r="O347" s="16"/>
      <c r="P347" s="22"/>
      <c r="Q347" s="27"/>
      <c r="R347" s="22"/>
      <c r="S347" s="22"/>
      <c r="T347" s="16"/>
      <c r="U347" s="16"/>
      <c r="V347" s="16"/>
      <c r="W347" s="16"/>
      <c r="X347" s="16"/>
      <c r="Y347" s="16"/>
      <c r="Z347" s="16"/>
      <c r="AA347" s="16"/>
      <c r="AB347" s="22"/>
    </row>
    <row r="348" spans="1:28" x14ac:dyDescent="0.3">
      <c r="A348" s="22"/>
      <c r="B348" s="22"/>
      <c r="C348" s="22"/>
      <c r="D348" s="22"/>
      <c r="E348" s="22"/>
      <c r="F348" s="22"/>
      <c r="G348" s="22"/>
      <c r="H348" s="22"/>
      <c r="I348" s="24" t="str">
        <f t="shared" si="10"/>
        <v/>
      </c>
      <c r="J348" s="25" t="str">
        <f t="shared" si="11"/>
        <v/>
      </c>
      <c r="K348" s="22"/>
      <c r="L348" s="22"/>
      <c r="M348" s="25" t="str">
        <f>IF(AND(L348&gt;=ref!$L$2,L348&lt;=ref!$M$2),ref!$K$2,IF(AND(L348&gt;=ref!$L$3,L348&lt;=ref!$M$3),ref!$K$3,IF(AND(L348&gt;=ref!$L$4,L348&lt;=ref!$M$4),ref!$K$4,IF(AND(L348&gt;=ref!$L$5,L348&lt;=ref!$M$5),ref!$K$5,IF(AND(L348&gt;=ref!$L$6,L348&lt;=ref!$M$6),ref!$K$6,IF(AND(L348&gt;=ref!$L$7,L348&lt;=ref!$M$7),ref!$K$7,IF(AND(L348&gt;=ref!$L$8,L348&lt;=ref!$M$8),ref!$K$8,IF(AND(L348&gt;=ref!$L$9,L348&lt;=ref!$M$9),ref!$K$9,IF(AND(L348&gt;=ref!$L$11,L348&lt;=ref!$M$11),ref!$K$11,IF(AND(L348&gt;=ref!$L$12,L348&lt;=ref!$M$12),ref!$K$12,""))))))))))</f>
        <v/>
      </c>
      <c r="N348" s="22"/>
      <c r="O348" s="16"/>
      <c r="P348" s="22"/>
      <c r="Q348" s="27"/>
      <c r="R348" s="22"/>
      <c r="S348" s="22"/>
      <c r="T348" s="16"/>
      <c r="U348" s="16"/>
      <c r="V348" s="16"/>
      <c r="W348" s="16"/>
      <c r="X348" s="16"/>
      <c r="Y348" s="16"/>
      <c r="Z348" s="16"/>
      <c r="AA348" s="16"/>
      <c r="AB348" s="22"/>
    </row>
    <row r="349" spans="1:28" x14ac:dyDescent="0.3">
      <c r="A349" s="22"/>
      <c r="B349" s="22"/>
      <c r="C349" s="22"/>
      <c r="D349" s="22"/>
      <c r="E349" s="22"/>
      <c r="F349" s="22"/>
      <c r="G349" s="22"/>
      <c r="H349" s="22"/>
      <c r="I349" s="24" t="str">
        <f t="shared" si="10"/>
        <v/>
      </c>
      <c r="J349" s="25" t="str">
        <f t="shared" si="11"/>
        <v/>
      </c>
      <c r="K349" s="22"/>
      <c r="L349" s="22"/>
      <c r="M349" s="25" t="str">
        <f>IF(AND(L349&gt;=ref!$L$2,L349&lt;=ref!$M$2),ref!$K$2,IF(AND(L349&gt;=ref!$L$3,L349&lt;=ref!$M$3),ref!$K$3,IF(AND(L349&gt;=ref!$L$4,L349&lt;=ref!$M$4),ref!$K$4,IF(AND(L349&gt;=ref!$L$5,L349&lt;=ref!$M$5),ref!$K$5,IF(AND(L349&gt;=ref!$L$6,L349&lt;=ref!$M$6),ref!$K$6,IF(AND(L349&gt;=ref!$L$7,L349&lt;=ref!$M$7),ref!$K$7,IF(AND(L349&gt;=ref!$L$8,L349&lt;=ref!$M$8),ref!$K$8,IF(AND(L349&gt;=ref!$L$9,L349&lt;=ref!$M$9),ref!$K$9,IF(AND(L349&gt;=ref!$L$11,L349&lt;=ref!$M$11),ref!$K$11,IF(AND(L349&gt;=ref!$L$12,L349&lt;=ref!$M$12),ref!$K$12,""))))))))))</f>
        <v/>
      </c>
      <c r="N349" s="22"/>
      <c r="O349" s="16"/>
      <c r="P349" s="22"/>
      <c r="Q349" s="27"/>
      <c r="R349" s="22"/>
      <c r="S349" s="22"/>
      <c r="T349" s="16"/>
      <c r="U349" s="16"/>
      <c r="V349" s="16"/>
      <c r="W349" s="16"/>
      <c r="X349" s="16"/>
      <c r="Y349" s="16"/>
      <c r="Z349" s="16"/>
      <c r="AA349" s="16"/>
      <c r="AB349" s="22"/>
    </row>
    <row r="350" spans="1:28" x14ac:dyDescent="0.3">
      <c r="A350" s="22"/>
      <c r="B350" s="22"/>
      <c r="C350" s="22"/>
      <c r="D350" s="22"/>
      <c r="E350" s="22"/>
      <c r="F350" s="22"/>
      <c r="G350" s="22"/>
      <c r="H350" s="22"/>
      <c r="I350" s="24" t="str">
        <f t="shared" si="10"/>
        <v/>
      </c>
      <c r="J350" s="25" t="str">
        <f t="shared" si="11"/>
        <v/>
      </c>
      <c r="K350" s="22"/>
      <c r="L350" s="22"/>
      <c r="M350" s="25" t="str">
        <f>IF(AND(L350&gt;=ref!$L$2,L350&lt;=ref!$M$2),ref!$K$2,IF(AND(L350&gt;=ref!$L$3,L350&lt;=ref!$M$3),ref!$K$3,IF(AND(L350&gt;=ref!$L$4,L350&lt;=ref!$M$4),ref!$K$4,IF(AND(L350&gt;=ref!$L$5,L350&lt;=ref!$M$5),ref!$K$5,IF(AND(L350&gt;=ref!$L$6,L350&lt;=ref!$M$6),ref!$K$6,IF(AND(L350&gt;=ref!$L$7,L350&lt;=ref!$M$7),ref!$K$7,IF(AND(L350&gt;=ref!$L$8,L350&lt;=ref!$M$8),ref!$K$8,IF(AND(L350&gt;=ref!$L$9,L350&lt;=ref!$M$9),ref!$K$9,IF(AND(L350&gt;=ref!$L$11,L350&lt;=ref!$M$11),ref!$K$11,IF(AND(L350&gt;=ref!$L$12,L350&lt;=ref!$M$12),ref!$K$12,""))))))))))</f>
        <v/>
      </c>
      <c r="N350" s="22"/>
      <c r="O350" s="16"/>
      <c r="P350" s="22"/>
      <c r="Q350" s="27"/>
      <c r="R350" s="22"/>
      <c r="S350" s="22"/>
      <c r="T350" s="16"/>
      <c r="U350" s="16"/>
      <c r="V350" s="16"/>
      <c r="W350" s="16"/>
      <c r="X350" s="16"/>
      <c r="Y350" s="16"/>
      <c r="Z350" s="16"/>
      <c r="AA350" s="16"/>
      <c r="AB350" s="22"/>
    </row>
    <row r="351" spans="1:28" x14ac:dyDescent="0.3">
      <c r="A351" s="22"/>
      <c r="B351" s="22"/>
      <c r="C351" s="22"/>
      <c r="D351" s="22"/>
      <c r="E351" s="22"/>
      <c r="F351" s="22"/>
      <c r="G351" s="22"/>
      <c r="H351" s="22"/>
      <c r="I351" s="24" t="str">
        <f t="shared" si="10"/>
        <v/>
      </c>
      <c r="J351" s="25" t="str">
        <f t="shared" si="11"/>
        <v/>
      </c>
      <c r="K351" s="22"/>
      <c r="L351" s="22"/>
      <c r="M351" s="25" t="str">
        <f>IF(AND(L351&gt;=ref!$L$2,L351&lt;=ref!$M$2),ref!$K$2,IF(AND(L351&gt;=ref!$L$3,L351&lt;=ref!$M$3),ref!$K$3,IF(AND(L351&gt;=ref!$L$4,L351&lt;=ref!$M$4),ref!$K$4,IF(AND(L351&gt;=ref!$L$5,L351&lt;=ref!$M$5),ref!$K$5,IF(AND(L351&gt;=ref!$L$6,L351&lt;=ref!$M$6),ref!$K$6,IF(AND(L351&gt;=ref!$L$7,L351&lt;=ref!$M$7),ref!$K$7,IF(AND(L351&gt;=ref!$L$8,L351&lt;=ref!$M$8),ref!$K$8,IF(AND(L351&gt;=ref!$L$9,L351&lt;=ref!$M$9),ref!$K$9,IF(AND(L351&gt;=ref!$L$11,L351&lt;=ref!$M$11),ref!$K$11,IF(AND(L351&gt;=ref!$L$12,L351&lt;=ref!$M$12),ref!$K$12,""))))))))))</f>
        <v/>
      </c>
      <c r="N351" s="22"/>
      <c r="O351" s="16"/>
      <c r="P351" s="22"/>
      <c r="Q351" s="27"/>
      <c r="R351" s="22"/>
      <c r="S351" s="22"/>
      <c r="T351" s="16"/>
      <c r="U351" s="16"/>
      <c r="V351" s="16"/>
      <c r="W351" s="16"/>
      <c r="X351" s="16"/>
      <c r="Y351" s="16"/>
      <c r="Z351" s="16"/>
      <c r="AA351" s="16"/>
      <c r="AB351" s="22"/>
    </row>
    <row r="352" spans="1:28" x14ac:dyDescent="0.3">
      <c r="A352" s="22"/>
      <c r="B352" s="22"/>
      <c r="C352" s="22"/>
      <c r="D352" s="22"/>
      <c r="E352" s="22"/>
      <c r="F352" s="22"/>
      <c r="G352" s="22"/>
      <c r="H352" s="22"/>
      <c r="I352" s="24" t="str">
        <f t="shared" si="10"/>
        <v/>
      </c>
      <c r="J352" s="25" t="str">
        <f t="shared" si="11"/>
        <v/>
      </c>
      <c r="K352" s="22"/>
      <c r="L352" s="22"/>
      <c r="M352" s="25" t="str">
        <f>IF(AND(L352&gt;=ref!$L$2,L352&lt;=ref!$M$2),ref!$K$2,IF(AND(L352&gt;=ref!$L$3,L352&lt;=ref!$M$3),ref!$K$3,IF(AND(L352&gt;=ref!$L$4,L352&lt;=ref!$M$4),ref!$K$4,IF(AND(L352&gt;=ref!$L$5,L352&lt;=ref!$M$5),ref!$K$5,IF(AND(L352&gt;=ref!$L$6,L352&lt;=ref!$M$6),ref!$K$6,IF(AND(L352&gt;=ref!$L$7,L352&lt;=ref!$M$7),ref!$K$7,IF(AND(L352&gt;=ref!$L$8,L352&lt;=ref!$M$8),ref!$K$8,IF(AND(L352&gt;=ref!$L$9,L352&lt;=ref!$M$9),ref!$K$9,IF(AND(L352&gt;=ref!$L$11,L352&lt;=ref!$M$11),ref!$K$11,IF(AND(L352&gt;=ref!$L$12,L352&lt;=ref!$M$12),ref!$K$12,""))))))))))</f>
        <v/>
      </c>
      <c r="N352" s="22"/>
      <c r="O352" s="16"/>
      <c r="P352" s="22"/>
      <c r="Q352" s="27"/>
      <c r="R352" s="22"/>
      <c r="S352" s="22"/>
      <c r="T352" s="16"/>
      <c r="U352" s="16"/>
      <c r="V352" s="16"/>
      <c r="W352" s="16"/>
      <c r="X352" s="16"/>
      <c r="Y352" s="16"/>
      <c r="Z352" s="16"/>
      <c r="AA352" s="16"/>
      <c r="AB352" s="22"/>
    </row>
    <row r="353" spans="1:28" x14ac:dyDescent="0.3">
      <c r="A353" s="22"/>
      <c r="B353" s="22"/>
      <c r="C353" s="22"/>
      <c r="D353" s="22"/>
      <c r="E353" s="22"/>
      <c r="F353" s="22"/>
      <c r="G353" s="22"/>
      <c r="H353" s="22"/>
      <c r="I353" s="24" t="str">
        <f t="shared" si="10"/>
        <v/>
      </c>
      <c r="J353" s="25" t="str">
        <f t="shared" si="11"/>
        <v/>
      </c>
      <c r="K353" s="22"/>
      <c r="L353" s="22"/>
      <c r="M353" s="25" t="str">
        <f>IF(AND(L353&gt;=ref!$L$2,L353&lt;=ref!$M$2),ref!$K$2,IF(AND(L353&gt;=ref!$L$3,L353&lt;=ref!$M$3),ref!$K$3,IF(AND(L353&gt;=ref!$L$4,L353&lt;=ref!$M$4),ref!$K$4,IF(AND(L353&gt;=ref!$L$5,L353&lt;=ref!$M$5),ref!$K$5,IF(AND(L353&gt;=ref!$L$6,L353&lt;=ref!$M$6),ref!$K$6,IF(AND(L353&gt;=ref!$L$7,L353&lt;=ref!$M$7),ref!$K$7,IF(AND(L353&gt;=ref!$L$8,L353&lt;=ref!$M$8),ref!$K$8,IF(AND(L353&gt;=ref!$L$9,L353&lt;=ref!$M$9),ref!$K$9,IF(AND(L353&gt;=ref!$L$11,L353&lt;=ref!$M$11),ref!$K$11,IF(AND(L353&gt;=ref!$L$12,L353&lt;=ref!$M$12),ref!$K$12,""))))))))))</f>
        <v/>
      </c>
      <c r="N353" s="22"/>
      <c r="O353" s="16"/>
      <c r="P353" s="22"/>
      <c r="Q353" s="27"/>
      <c r="R353" s="22"/>
      <c r="S353" s="22"/>
      <c r="T353" s="16"/>
      <c r="U353" s="16"/>
      <c r="V353" s="16"/>
      <c r="W353" s="16"/>
      <c r="X353" s="16"/>
      <c r="Y353" s="16"/>
      <c r="Z353" s="16"/>
      <c r="AA353" s="16"/>
      <c r="AB353" s="22"/>
    </row>
    <row r="354" spans="1:28" x14ac:dyDescent="0.3">
      <c r="A354" s="22"/>
      <c r="B354" s="22"/>
      <c r="C354" s="22"/>
      <c r="D354" s="22"/>
      <c r="E354" s="22"/>
      <c r="F354" s="22"/>
      <c r="G354" s="22"/>
      <c r="H354" s="22"/>
      <c r="I354" s="24" t="str">
        <f t="shared" si="10"/>
        <v/>
      </c>
      <c r="J354" s="25" t="str">
        <f t="shared" si="11"/>
        <v/>
      </c>
      <c r="K354" s="22"/>
      <c r="L354" s="22"/>
      <c r="M354" s="25" t="str">
        <f>IF(AND(L354&gt;=ref!$L$2,L354&lt;=ref!$M$2),ref!$K$2,IF(AND(L354&gt;=ref!$L$3,L354&lt;=ref!$M$3),ref!$K$3,IF(AND(L354&gt;=ref!$L$4,L354&lt;=ref!$M$4),ref!$K$4,IF(AND(L354&gt;=ref!$L$5,L354&lt;=ref!$M$5),ref!$K$5,IF(AND(L354&gt;=ref!$L$6,L354&lt;=ref!$M$6),ref!$K$6,IF(AND(L354&gt;=ref!$L$7,L354&lt;=ref!$M$7),ref!$K$7,IF(AND(L354&gt;=ref!$L$8,L354&lt;=ref!$M$8),ref!$K$8,IF(AND(L354&gt;=ref!$L$9,L354&lt;=ref!$M$9),ref!$K$9,IF(AND(L354&gt;=ref!$L$11,L354&lt;=ref!$M$11),ref!$K$11,IF(AND(L354&gt;=ref!$L$12,L354&lt;=ref!$M$12),ref!$K$12,""))))))))))</f>
        <v/>
      </c>
      <c r="N354" s="22"/>
      <c r="O354" s="16"/>
      <c r="P354" s="22"/>
      <c r="Q354" s="27"/>
      <c r="R354" s="22"/>
      <c r="S354" s="22"/>
      <c r="T354" s="16"/>
      <c r="U354" s="16"/>
      <c r="V354" s="16"/>
      <c r="W354" s="16"/>
      <c r="X354" s="16"/>
      <c r="Y354" s="16"/>
      <c r="Z354" s="16"/>
      <c r="AA354" s="16"/>
      <c r="AB354" s="22"/>
    </row>
    <row r="355" spans="1:28" x14ac:dyDescent="0.3">
      <c r="A355" s="22"/>
      <c r="B355" s="22"/>
      <c r="C355" s="22"/>
      <c r="D355" s="22"/>
      <c r="E355" s="22"/>
      <c r="F355" s="22"/>
      <c r="G355" s="22"/>
      <c r="H355" s="22"/>
      <c r="I355" s="24" t="str">
        <f t="shared" si="10"/>
        <v/>
      </c>
      <c r="J355" s="25" t="str">
        <f t="shared" si="11"/>
        <v/>
      </c>
      <c r="K355" s="22"/>
      <c r="L355" s="22"/>
      <c r="M355" s="25" t="str">
        <f>IF(AND(L355&gt;=ref!$L$2,L355&lt;=ref!$M$2),ref!$K$2,IF(AND(L355&gt;=ref!$L$3,L355&lt;=ref!$M$3),ref!$K$3,IF(AND(L355&gt;=ref!$L$4,L355&lt;=ref!$M$4),ref!$K$4,IF(AND(L355&gt;=ref!$L$5,L355&lt;=ref!$M$5),ref!$K$5,IF(AND(L355&gt;=ref!$L$6,L355&lt;=ref!$M$6),ref!$K$6,IF(AND(L355&gt;=ref!$L$7,L355&lt;=ref!$M$7),ref!$K$7,IF(AND(L355&gt;=ref!$L$8,L355&lt;=ref!$M$8),ref!$K$8,IF(AND(L355&gt;=ref!$L$9,L355&lt;=ref!$M$9),ref!$K$9,IF(AND(L355&gt;=ref!$L$11,L355&lt;=ref!$M$11),ref!$K$11,IF(AND(L355&gt;=ref!$L$12,L355&lt;=ref!$M$12),ref!$K$12,""))))))))))</f>
        <v/>
      </c>
      <c r="N355" s="22"/>
      <c r="O355" s="16"/>
      <c r="P355" s="22"/>
      <c r="Q355" s="27"/>
      <c r="R355" s="22"/>
      <c r="S355" s="22"/>
      <c r="T355" s="16"/>
      <c r="U355" s="16"/>
      <c r="V355" s="16"/>
      <c r="W355" s="16"/>
      <c r="X355" s="16"/>
      <c r="Y355" s="16"/>
      <c r="Z355" s="16"/>
      <c r="AA355" s="16"/>
      <c r="AB355" s="22"/>
    </row>
    <row r="356" spans="1:28" x14ac:dyDescent="0.3">
      <c r="A356" s="22"/>
      <c r="B356" s="22"/>
      <c r="C356" s="22"/>
      <c r="D356" s="22"/>
      <c r="E356" s="22"/>
      <c r="F356" s="22"/>
      <c r="G356" s="22"/>
      <c r="H356" s="22"/>
      <c r="I356" s="24" t="str">
        <f t="shared" si="10"/>
        <v/>
      </c>
      <c r="J356" s="25" t="str">
        <f t="shared" si="11"/>
        <v/>
      </c>
      <c r="K356" s="22"/>
      <c r="L356" s="22"/>
      <c r="M356" s="25" t="str">
        <f>IF(AND(L356&gt;=ref!$L$2,L356&lt;=ref!$M$2),ref!$K$2,IF(AND(L356&gt;=ref!$L$3,L356&lt;=ref!$M$3),ref!$K$3,IF(AND(L356&gt;=ref!$L$4,L356&lt;=ref!$M$4),ref!$K$4,IF(AND(L356&gt;=ref!$L$5,L356&lt;=ref!$M$5),ref!$K$5,IF(AND(L356&gt;=ref!$L$6,L356&lt;=ref!$M$6),ref!$K$6,IF(AND(L356&gt;=ref!$L$7,L356&lt;=ref!$M$7),ref!$K$7,IF(AND(L356&gt;=ref!$L$8,L356&lt;=ref!$M$8),ref!$K$8,IF(AND(L356&gt;=ref!$L$9,L356&lt;=ref!$M$9),ref!$K$9,IF(AND(L356&gt;=ref!$L$11,L356&lt;=ref!$M$11),ref!$K$11,IF(AND(L356&gt;=ref!$L$12,L356&lt;=ref!$M$12),ref!$K$12,""))))))))))</f>
        <v/>
      </c>
      <c r="N356" s="22"/>
      <c r="O356" s="16"/>
      <c r="P356" s="22"/>
      <c r="Q356" s="27"/>
      <c r="R356" s="22"/>
      <c r="S356" s="22"/>
      <c r="T356" s="16"/>
      <c r="U356" s="16"/>
      <c r="V356" s="16"/>
      <c r="W356" s="16"/>
      <c r="X356" s="16"/>
      <c r="Y356" s="16"/>
      <c r="Z356" s="16"/>
      <c r="AA356" s="16"/>
      <c r="AB356" s="22"/>
    </row>
    <row r="357" spans="1:28" x14ac:dyDescent="0.3">
      <c r="A357" s="22"/>
      <c r="B357" s="22"/>
      <c r="C357" s="22"/>
      <c r="D357" s="22"/>
      <c r="E357" s="22"/>
      <c r="F357" s="22"/>
      <c r="G357" s="22"/>
      <c r="H357" s="22"/>
      <c r="I357" s="24" t="str">
        <f t="shared" si="10"/>
        <v/>
      </c>
      <c r="J357" s="25" t="str">
        <f t="shared" si="11"/>
        <v/>
      </c>
      <c r="K357" s="22"/>
      <c r="L357" s="22"/>
      <c r="M357" s="25" t="str">
        <f>IF(AND(L357&gt;=ref!$L$2,L357&lt;=ref!$M$2),ref!$K$2,IF(AND(L357&gt;=ref!$L$3,L357&lt;=ref!$M$3),ref!$K$3,IF(AND(L357&gt;=ref!$L$4,L357&lt;=ref!$M$4),ref!$K$4,IF(AND(L357&gt;=ref!$L$5,L357&lt;=ref!$M$5),ref!$K$5,IF(AND(L357&gt;=ref!$L$6,L357&lt;=ref!$M$6),ref!$K$6,IF(AND(L357&gt;=ref!$L$7,L357&lt;=ref!$M$7),ref!$K$7,IF(AND(L357&gt;=ref!$L$8,L357&lt;=ref!$M$8),ref!$K$8,IF(AND(L357&gt;=ref!$L$9,L357&lt;=ref!$M$9),ref!$K$9,IF(AND(L357&gt;=ref!$L$11,L357&lt;=ref!$M$11),ref!$K$11,IF(AND(L357&gt;=ref!$L$12,L357&lt;=ref!$M$12),ref!$K$12,""))))))))))</f>
        <v/>
      </c>
      <c r="N357" s="22"/>
      <c r="O357" s="16"/>
      <c r="P357" s="22"/>
      <c r="Q357" s="27"/>
      <c r="R357" s="22"/>
      <c r="S357" s="22"/>
      <c r="T357" s="16"/>
      <c r="U357" s="16"/>
      <c r="V357" s="16"/>
      <c r="W357" s="16"/>
      <c r="X357" s="16"/>
      <c r="Y357" s="16"/>
      <c r="Z357" s="16"/>
      <c r="AA357" s="16"/>
      <c r="AB357" s="22"/>
    </row>
    <row r="358" spans="1:28" x14ac:dyDescent="0.3">
      <c r="A358" s="22"/>
      <c r="B358" s="22"/>
      <c r="C358" s="22"/>
      <c r="D358" s="22"/>
      <c r="E358" s="22"/>
      <c r="F358" s="22"/>
      <c r="G358" s="22"/>
      <c r="H358" s="22"/>
      <c r="I358" s="24" t="str">
        <f t="shared" si="10"/>
        <v/>
      </c>
      <c r="J358" s="25" t="str">
        <f t="shared" si="11"/>
        <v/>
      </c>
      <c r="K358" s="22"/>
      <c r="L358" s="22"/>
      <c r="M358" s="25" t="str">
        <f>IF(AND(L358&gt;=ref!$L$2,L358&lt;=ref!$M$2),ref!$K$2,IF(AND(L358&gt;=ref!$L$3,L358&lt;=ref!$M$3),ref!$K$3,IF(AND(L358&gt;=ref!$L$4,L358&lt;=ref!$M$4),ref!$K$4,IF(AND(L358&gt;=ref!$L$5,L358&lt;=ref!$M$5),ref!$K$5,IF(AND(L358&gt;=ref!$L$6,L358&lt;=ref!$M$6),ref!$K$6,IF(AND(L358&gt;=ref!$L$7,L358&lt;=ref!$M$7),ref!$K$7,IF(AND(L358&gt;=ref!$L$8,L358&lt;=ref!$M$8),ref!$K$8,IF(AND(L358&gt;=ref!$L$9,L358&lt;=ref!$M$9),ref!$K$9,IF(AND(L358&gt;=ref!$L$11,L358&lt;=ref!$M$11),ref!$K$11,IF(AND(L358&gt;=ref!$L$12,L358&lt;=ref!$M$12),ref!$K$12,""))))))))))</f>
        <v/>
      </c>
      <c r="N358" s="22"/>
      <c r="O358" s="16"/>
      <c r="P358" s="22"/>
      <c r="Q358" s="27"/>
      <c r="R358" s="22"/>
      <c r="S358" s="22"/>
      <c r="T358" s="16"/>
      <c r="U358" s="16"/>
      <c r="V358" s="16"/>
      <c r="W358" s="16"/>
      <c r="X358" s="16"/>
      <c r="Y358" s="16"/>
      <c r="Z358" s="16"/>
      <c r="AA358" s="16"/>
      <c r="AB358" s="22"/>
    </row>
    <row r="359" spans="1:28" x14ac:dyDescent="0.3">
      <c r="A359" s="22"/>
      <c r="B359" s="22"/>
      <c r="C359" s="22"/>
      <c r="D359" s="22"/>
      <c r="E359" s="22"/>
      <c r="F359" s="22"/>
      <c r="G359" s="22"/>
      <c r="H359" s="22"/>
      <c r="I359" s="24" t="str">
        <f t="shared" si="10"/>
        <v/>
      </c>
      <c r="J359" s="25" t="str">
        <f t="shared" si="11"/>
        <v/>
      </c>
      <c r="K359" s="22"/>
      <c r="L359" s="22"/>
      <c r="M359" s="25" t="str">
        <f>IF(AND(L359&gt;=ref!$L$2,L359&lt;=ref!$M$2),ref!$K$2,IF(AND(L359&gt;=ref!$L$3,L359&lt;=ref!$M$3),ref!$K$3,IF(AND(L359&gt;=ref!$L$4,L359&lt;=ref!$M$4),ref!$K$4,IF(AND(L359&gt;=ref!$L$5,L359&lt;=ref!$M$5),ref!$K$5,IF(AND(L359&gt;=ref!$L$6,L359&lt;=ref!$M$6),ref!$K$6,IF(AND(L359&gt;=ref!$L$7,L359&lt;=ref!$M$7),ref!$K$7,IF(AND(L359&gt;=ref!$L$8,L359&lt;=ref!$M$8),ref!$K$8,IF(AND(L359&gt;=ref!$L$9,L359&lt;=ref!$M$9),ref!$K$9,IF(AND(L359&gt;=ref!$L$11,L359&lt;=ref!$M$11),ref!$K$11,IF(AND(L359&gt;=ref!$L$12,L359&lt;=ref!$M$12),ref!$K$12,""))))))))))</f>
        <v/>
      </c>
      <c r="N359" s="22"/>
      <c r="O359" s="16"/>
      <c r="P359" s="22"/>
      <c r="Q359" s="27"/>
      <c r="R359" s="22"/>
      <c r="S359" s="22"/>
      <c r="T359" s="16"/>
      <c r="U359" s="16"/>
      <c r="V359" s="16"/>
      <c r="W359" s="16"/>
      <c r="X359" s="16"/>
      <c r="Y359" s="16"/>
      <c r="Z359" s="16"/>
      <c r="AA359" s="16"/>
      <c r="AB359" s="22"/>
    </row>
    <row r="360" spans="1:28" x14ac:dyDescent="0.3">
      <c r="A360" s="22"/>
      <c r="B360" s="22"/>
      <c r="C360" s="22"/>
      <c r="D360" s="22"/>
      <c r="E360" s="22"/>
      <c r="F360" s="22"/>
      <c r="G360" s="22"/>
      <c r="H360" s="22"/>
      <c r="I360" s="24" t="str">
        <f t="shared" si="10"/>
        <v/>
      </c>
      <c r="J360" s="25" t="str">
        <f t="shared" si="11"/>
        <v/>
      </c>
      <c r="K360" s="22"/>
      <c r="L360" s="22"/>
      <c r="M360" s="25" t="str">
        <f>IF(AND(L360&gt;=ref!$L$2,L360&lt;=ref!$M$2),ref!$K$2,IF(AND(L360&gt;=ref!$L$3,L360&lt;=ref!$M$3),ref!$K$3,IF(AND(L360&gt;=ref!$L$4,L360&lt;=ref!$M$4),ref!$K$4,IF(AND(L360&gt;=ref!$L$5,L360&lt;=ref!$M$5),ref!$K$5,IF(AND(L360&gt;=ref!$L$6,L360&lt;=ref!$M$6),ref!$K$6,IF(AND(L360&gt;=ref!$L$7,L360&lt;=ref!$M$7),ref!$K$7,IF(AND(L360&gt;=ref!$L$8,L360&lt;=ref!$M$8),ref!$K$8,IF(AND(L360&gt;=ref!$L$9,L360&lt;=ref!$M$9),ref!$K$9,IF(AND(L360&gt;=ref!$L$11,L360&lt;=ref!$M$11),ref!$K$11,IF(AND(L360&gt;=ref!$L$12,L360&lt;=ref!$M$12),ref!$K$12,""))))))))))</f>
        <v/>
      </c>
      <c r="N360" s="22"/>
      <c r="O360" s="16"/>
      <c r="P360" s="22"/>
      <c r="Q360" s="27"/>
      <c r="R360" s="22"/>
      <c r="S360" s="22"/>
      <c r="T360" s="16"/>
      <c r="U360" s="16"/>
      <c r="V360" s="16"/>
      <c r="W360" s="16"/>
      <c r="X360" s="16"/>
      <c r="Y360" s="16"/>
      <c r="Z360" s="16"/>
      <c r="AA360" s="16"/>
      <c r="AB360" s="22"/>
    </row>
    <row r="361" spans="1:28" x14ac:dyDescent="0.3">
      <c r="A361" s="22"/>
      <c r="B361" s="22"/>
      <c r="C361" s="22"/>
      <c r="D361" s="22"/>
      <c r="E361" s="22"/>
      <c r="F361" s="22"/>
      <c r="G361" s="22"/>
      <c r="H361" s="22"/>
      <c r="I361" s="24" t="str">
        <f t="shared" si="10"/>
        <v/>
      </c>
      <c r="J361" s="25" t="str">
        <f t="shared" si="11"/>
        <v/>
      </c>
      <c r="K361" s="22"/>
      <c r="L361" s="22"/>
      <c r="M361" s="25" t="str">
        <f>IF(AND(L361&gt;=ref!$L$2,L361&lt;=ref!$M$2),ref!$K$2,IF(AND(L361&gt;=ref!$L$3,L361&lt;=ref!$M$3),ref!$K$3,IF(AND(L361&gt;=ref!$L$4,L361&lt;=ref!$M$4),ref!$K$4,IF(AND(L361&gt;=ref!$L$5,L361&lt;=ref!$M$5),ref!$K$5,IF(AND(L361&gt;=ref!$L$6,L361&lt;=ref!$M$6),ref!$K$6,IF(AND(L361&gt;=ref!$L$7,L361&lt;=ref!$M$7),ref!$K$7,IF(AND(L361&gt;=ref!$L$8,L361&lt;=ref!$M$8),ref!$K$8,IF(AND(L361&gt;=ref!$L$9,L361&lt;=ref!$M$9),ref!$K$9,IF(AND(L361&gt;=ref!$L$11,L361&lt;=ref!$M$11),ref!$K$11,IF(AND(L361&gt;=ref!$L$12,L361&lt;=ref!$M$12),ref!$K$12,""))))))))))</f>
        <v/>
      </c>
      <c r="N361" s="22"/>
      <c r="O361" s="16"/>
      <c r="P361" s="22"/>
      <c r="Q361" s="27"/>
      <c r="R361" s="22"/>
      <c r="S361" s="22"/>
      <c r="T361" s="16"/>
      <c r="U361" s="16"/>
      <c r="V361" s="16"/>
      <c r="W361" s="16"/>
      <c r="X361" s="16"/>
      <c r="Y361" s="16"/>
      <c r="Z361" s="16"/>
      <c r="AA361" s="16"/>
      <c r="AB361" s="22"/>
    </row>
    <row r="362" spans="1:28" x14ac:dyDescent="0.3">
      <c r="A362" s="22"/>
      <c r="B362" s="22"/>
      <c r="C362" s="22"/>
      <c r="D362" s="22"/>
      <c r="E362" s="22"/>
      <c r="F362" s="22"/>
      <c r="G362" s="22"/>
      <c r="H362" s="22"/>
      <c r="I362" s="24" t="str">
        <f t="shared" si="10"/>
        <v/>
      </c>
      <c r="J362" s="25" t="str">
        <f t="shared" si="11"/>
        <v/>
      </c>
      <c r="K362" s="22"/>
      <c r="L362" s="22"/>
      <c r="M362" s="25" t="str">
        <f>IF(AND(L362&gt;=ref!$L$2,L362&lt;=ref!$M$2),ref!$K$2,IF(AND(L362&gt;=ref!$L$3,L362&lt;=ref!$M$3),ref!$K$3,IF(AND(L362&gt;=ref!$L$4,L362&lt;=ref!$M$4),ref!$K$4,IF(AND(L362&gt;=ref!$L$5,L362&lt;=ref!$M$5),ref!$K$5,IF(AND(L362&gt;=ref!$L$6,L362&lt;=ref!$M$6),ref!$K$6,IF(AND(L362&gt;=ref!$L$7,L362&lt;=ref!$M$7),ref!$K$7,IF(AND(L362&gt;=ref!$L$8,L362&lt;=ref!$M$8),ref!$K$8,IF(AND(L362&gt;=ref!$L$9,L362&lt;=ref!$M$9),ref!$K$9,IF(AND(L362&gt;=ref!$L$11,L362&lt;=ref!$M$11),ref!$K$11,IF(AND(L362&gt;=ref!$L$12,L362&lt;=ref!$M$12),ref!$K$12,""))))))))))</f>
        <v/>
      </c>
      <c r="N362" s="22"/>
      <c r="O362" s="16"/>
      <c r="P362" s="22"/>
      <c r="Q362" s="27"/>
      <c r="R362" s="22"/>
      <c r="S362" s="22"/>
      <c r="T362" s="16"/>
      <c r="U362" s="16"/>
      <c r="V362" s="16"/>
      <c r="W362" s="16"/>
      <c r="X362" s="16"/>
      <c r="Y362" s="16"/>
      <c r="Z362" s="16"/>
      <c r="AA362" s="16"/>
      <c r="AB362" s="22"/>
    </row>
    <row r="363" spans="1:28" x14ac:dyDescent="0.3">
      <c r="A363" s="22"/>
      <c r="B363" s="22"/>
      <c r="C363" s="22"/>
      <c r="D363" s="22"/>
      <c r="E363" s="22"/>
      <c r="F363" s="22"/>
      <c r="G363" s="22"/>
      <c r="H363" s="22"/>
      <c r="I363" s="24" t="str">
        <f t="shared" si="10"/>
        <v/>
      </c>
      <c r="J363" s="25" t="str">
        <f t="shared" si="11"/>
        <v/>
      </c>
      <c r="K363" s="22"/>
      <c r="L363" s="22"/>
      <c r="M363" s="25" t="str">
        <f>IF(AND(L363&gt;=ref!$L$2,L363&lt;=ref!$M$2),ref!$K$2,IF(AND(L363&gt;=ref!$L$3,L363&lt;=ref!$M$3),ref!$K$3,IF(AND(L363&gt;=ref!$L$4,L363&lt;=ref!$M$4),ref!$K$4,IF(AND(L363&gt;=ref!$L$5,L363&lt;=ref!$M$5),ref!$K$5,IF(AND(L363&gt;=ref!$L$6,L363&lt;=ref!$M$6),ref!$K$6,IF(AND(L363&gt;=ref!$L$7,L363&lt;=ref!$M$7),ref!$K$7,IF(AND(L363&gt;=ref!$L$8,L363&lt;=ref!$M$8),ref!$K$8,IF(AND(L363&gt;=ref!$L$9,L363&lt;=ref!$M$9),ref!$K$9,IF(AND(L363&gt;=ref!$L$11,L363&lt;=ref!$M$11),ref!$K$11,IF(AND(L363&gt;=ref!$L$12,L363&lt;=ref!$M$12),ref!$K$12,""))))))))))</f>
        <v/>
      </c>
      <c r="N363" s="22"/>
      <c r="O363" s="16"/>
      <c r="P363" s="22"/>
      <c r="Q363" s="27"/>
      <c r="R363" s="22"/>
      <c r="S363" s="22"/>
      <c r="T363" s="16"/>
      <c r="U363" s="16"/>
      <c r="V363" s="16"/>
      <c r="W363" s="16"/>
      <c r="X363" s="16"/>
      <c r="Y363" s="16"/>
      <c r="Z363" s="16"/>
      <c r="AA363" s="16"/>
      <c r="AB363" s="22"/>
    </row>
    <row r="364" spans="1:28" x14ac:dyDescent="0.3">
      <c r="A364" s="22"/>
      <c r="B364" s="22"/>
      <c r="C364" s="22"/>
      <c r="D364" s="22"/>
      <c r="E364" s="22"/>
      <c r="F364" s="22"/>
      <c r="G364" s="22"/>
      <c r="H364" s="22"/>
      <c r="I364" s="24" t="str">
        <f t="shared" si="10"/>
        <v/>
      </c>
      <c r="J364" s="25" t="str">
        <f t="shared" si="11"/>
        <v/>
      </c>
      <c r="K364" s="22"/>
      <c r="L364" s="22"/>
      <c r="M364" s="25" t="str">
        <f>IF(AND(L364&gt;=ref!$L$2,L364&lt;=ref!$M$2),ref!$K$2,IF(AND(L364&gt;=ref!$L$3,L364&lt;=ref!$M$3),ref!$K$3,IF(AND(L364&gt;=ref!$L$4,L364&lt;=ref!$M$4),ref!$K$4,IF(AND(L364&gt;=ref!$L$5,L364&lt;=ref!$M$5),ref!$K$5,IF(AND(L364&gt;=ref!$L$6,L364&lt;=ref!$M$6),ref!$K$6,IF(AND(L364&gt;=ref!$L$7,L364&lt;=ref!$M$7),ref!$K$7,IF(AND(L364&gt;=ref!$L$8,L364&lt;=ref!$M$8),ref!$K$8,IF(AND(L364&gt;=ref!$L$9,L364&lt;=ref!$M$9),ref!$K$9,IF(AND(L364&gt;=ref!$L$11,L364&lt;=ref!$M$11),ref!$K$11,IF(AND(L364&gt;=ref!$L$12,L364&lt;=ref!$M$12),ref!$K$12,""))))))))))</f>
        <v/>
      </c>
      <c r="N364" s="22"/>
      <c r="O364" s="16"/>
      <c r="P364" s="22"/>
      <c r="Q364" s="27"/>
      <c r="R364" s="22"/>
      <c r="S364" s="22"/>
      <c r="T364" s="16"/>
      <c r="U364" s="16"/>
      <c r="V364" s="16"/>
      <c r="W364" s="16"/>
      <c r="X364" s="16"/>
      <c r="Y364" s="16"/>
      <c r="Z364" s="16"/>
      <c r="AA364" s="16"/>
      <c r="AB364" s="22"/>
    </row>
    <row r="365" spans="1:28" x14ac:dyDescent="0.3">
      <c r="A365" s="22"/>
      <c r="B365" s="22"/>
      <c r="C365" s="22"/>
      <c r="D365" s="22"/>
      <c r="E365" s="22"/>
      <c r="F365" s="22"/>
      <c r="G365" s="22"/>
      <c r="H365" s="22"/>
      <c r="I365" s="24" t="str">
        <f t="shared" si="10"/>
        <v/>
      </c>
      <c r="J365" s="25" t="str">
        <f t="shared" si="11"/>
        <v/>
      </c>
      <c r="K365" s="22"/>
      <c r="L365" s="22"/>
      <c r="M365" s="25" t="str">
        <f>IF(AND(L365&gt;=ref!$L$2,L365&lt;=ref!$M$2),ref!$K$2,IF(AND(L365&gt;=ref!$L$3,L365&lt;=ref!$M$3),ref!$K$3,IF(AND(L365&gt;=ref!$L$4,L365&lt;=ref!$M$4),ref!$K$4,IF(AND(L365&gt;=ref!$L$5,L365&lt;=ref!$M$5),ref!$K$5,IF(AND(L365&gt;=ref!$L$6,L365&lt;=ref!$M$6),ref!$K$6,IF(AND(L365&gt;=ref!$L$7,L365&lt;=ref!$M$7),ref!$K$7,IF(AND(L365&gt;=ref!$L$8,L365&lt;=ref!$M$8),ref!$K$8,IF(AND(L365&gt;=ref!$L$9,L365&lt;=ref!$M$9),ref!$K$9,IF(AND(L365&gt;=ref!$L$11,L365&lt;=ref!$M$11),ref!$K$11,IF(AND(L365&gt;=ref!$L$12,L365&lt;=ref!$M$12),ref!$K$12,""))))))))))</f>
        <v/>
      </c>
      <c r="N365" s="22"/>
      <c r="O365" s="16"/>
      <c r="P365" s="22"/>
      <c r="Q365" s="27"/>
      <c r="R365" s="22"/>
      <c r="S365" s="22"/>
      <c r="T365" s="16"/>
      <c r="U365" s="16"/>
      <c r="V365" s="16"/>
      <c r="W365" s="16"/>
      <c r="X365" s="16"/>
      <c r="Y365" s="16"/>
      <c r="Z365" s="16"/>
      <c r="AA365" s="16"/>
      <c r="AB365" s="22"/>
    </row>
    <row r="366" spans="1:28" x14ac:dyDescent="0.3">
      <c r="A366" s="22"/>
      <c r="B366" s="22"/>
      <c r="C366" s="22"/>
      <c r="D366" s="22"/>
      <c r="E366" s="22"/>
      <c r="F366" s="22"/>
      <c r="G366" s="22"/>
      <c r="H366" s="22"/>
      <c r="I366" s="24" t="str">
        <f t="shared" si="10"/>
        <v/>
      </c>
      <c r="J366" s="25" t="str">
        <f t="shared" si="11"/>
        <v/>
      </c>
      <c r="K366" s="22"/>
      <c r="L366" s="22"/>
      <c r="M366" s="25" t="str">
        <f>IF(AND(L366&gt;=ref!$L$2,L366&lt;=ref!$M$2),ref!$K$2,IF(AND(L366&gt;=ref!$L$3,L366&lt;=ref!$M$3),ref!$K$3,IF(AND(L366&gt;=ref!$L$4,L366&lt;=ref!$M$4),ref!$K$4,IF(AND(L366&gt;=ref!$L$5,L366&lt;=ref!$M$5),ref!$K$5,IF(AND(L366&gt;=ref!$L$6,L366&lt;=ref!$M$6),ref!$K$6,IF(AND(L366&gt;=ref!$L$7,L366&lt;=ref!$M$7),ref!$K$7,IF(AND(L366&gt;=ref!$L$8,L366&lt;=ref!$M$8),ref!$K$8,IF(AND(L366&gt;=ref!$L$9,L366&lt;=ref!$M$9),ref!$K$9,IF(AND(L366&gt;=ref!$L$11,L366&lt;=ref!$M$11),ref!$K$11,IF(AND(L366&gt;=ref!$L$12,L366&lt;=ref!$M$12),ref!$K$12,""))))))))))</f>
        <v/>
      </c>
      <c r="N366" s="22"/>
      <c r="O366" s="16"/>
      <c r="P366" s="22"/>
      <c r="Q366" s="27"/>
      <c r="R366" s="22"/>
      <c r="S366" s="22"/>
      <c r="T366" s="16"/>
      <c r="U366" s="16"/>
      <c r="V366" s="16"/>
      <c r="W366" s="16"/>
      <c r="X366" s="16"/>
      <c r="Y366" s="16"/>
      <c r="Z366" s="16"/>
      <c r="AA366" s="16"/>
      <c r="AB366" s="22"/>
    </row>
    <row r="367" spans="1:28" x14ac:dyDescent="0.3">
      <c r="A367" s="22"/>
      <c r="B367" s="22"/>
      <c r="C367" s="22"/>
      <c r="D367" s="22"/>
      <c r="E367" s="22"/>
      <c r="F367" s="22"/>
      <c r="G367" s="22"/>
      <c r="H367" s="22"/>
      <c r="I367" s="24" t="str">
        <f t="shared" si="10"/>
        <v/>
      </c>
      <c r="J367" s="25" t="str">
        <f t="shared" si="11"/>
        <v/>
      </c>
      <c r="K367" s="22"/>
      <c r="L367" s="22"/>
      <c r="M367" s="25" t="str">
        <f>IF(AND(L367&gt;=ref!$L$2,L367&lt;=ref!$M$2),ref!$K$2,IF(AND(L367&gt;=ref!$L$3,L367&lt;=ref!$M$3),ref!$K$3,IF(AND(L367&gt;=ref!$L$4,L367&lt;=ref!$M$4),ref!$K$4,IF(AND(L367&gt;=ref!$L$5,L367&lt;=ref!$M$5),ref!$K$5,IF(AND(L367&gt;=ref!$L$6,L367&lt;=ref!$M$6),ref!$K$6,IF(AND(L367&gt;=ref!$L$7,L367&lt;=ref!$M$7),ref!$K$7,IF(AND(L367&gt;=ref!$L$8,L367&lt;=ref!$M$8),ref!$K$8,IF(AND(L367&gt;=ref!$L$9,L367&lt;=ref!$M$9),ref!$K$9,IF(AND(L367&gt;=ref!$L$11,L367&lt;=ref!$M$11),ref!$K$11,IF(AND(L367&gt;=ref!$L$12,L367&lt;=ref!$M$12),ref!$K$12,""))))))))))</f>
        <v/>
      </c>
      <c r="N367" s="22"/>
      <c r="O367" s="16"/>
      <c r="P367" s="22"/>
      <c r="Q367" s="27"/>
      <c r="R367" s="22"/>
      <c r="S367" s="22"/>
      <c r="T367" s="16"/>
      <c r="U367" s="16"/>
      <c r="V367" s="16"/>
      <c r="W367" s="16"/>
      <c r="X367" s="16"/>
      <c r="Y367" s="16"/>
      <c r="Z367" s="16"/>
      <c r="AA367" s="16"/>
      <c r="AB367" s="22"/>
    </row>
    <row r="368" spans="1:28" x14ac:dyDescent="0.3">
      <c r="A368" s="22"/>
      <c r="B368" s="22"/>
      <c r="C368" s="22"/>
      <c r="D368" s="22"/>
      <c r="E368" s="22"/>
      <c r="F368" s="22"/>
      <c r="G368" s="22"/>
      <c r="H368" s="22"/>
      <c r="I368" s="24" t="str">
        <f t="shared" si="10"/>
        <v/>
      </c>
      <c r="J368" s="25" t="str">
        <f t="shared" si="11"/>
        <v/>
      </c>
      <c r="K368" s="22"/>
      <c r="L368" s="22"/>
      <c r="M368" s="25" t="str">
        <f>IF(AND(L368&gt;=ref!$L$2,L368&lt;=ref!$M$2),ref!$K$2,IF(AND(L368&gt;=ref!$L$3,L368&lt;=ref!$M$3),ref!$K$3,IF(AND(L368&gt;=ref!$L$4,L368&lt;=ref!$M$4),ref!$K$4,IF(AND(L368&gt;=ref!$L$5,L368&lt;=ref!$M$5),ref!$K$5,IF(AND(L368&gt;=ref!$L$6,L368&lt;=ref!$M$6),ref!$K$6,IF(AND(L368&gt;=ref!$L$7,L368&lt;=ref!$M$7),ref!$K$7,IF(AND(L368&gt;=ref!$L$8,L368&lt;=ref!$M$8),ref!$K$8,IF(AND(L368&gt;=ref!$L$9,L368&lt;=ref!$M$9),ref!$K$9,IF(AND(L368&gt;=ref!$L$11,L368&lt;=ref!$M$11),ref!$K$11,IF(AND(L368&gt;=ref!$L$12,L368&lt;=ref!$M$12),ref!$K$12,""))))))))))</f>
        <v/>
      </c>
      <c r="N368" s="22"/>
      <c r="O368" s="16"/>
      <c r="P368" s="22"/>
      <c r="Q368" s="27"/>
      <c r="R368" s="22"/>
      <c r="S368" s="22"/>
      <c r="T368" s="16"/>
      <c r="U368" s="16"/>
      <c r="V368" s="16"/>
      <c r="W368" s="16"/>
      <c r="X368" s="16"/>
      <c r="Y368" s="16"/>
      <c r="Z368" s="16"/>
      <c r="AA368" s="16"/>
      <c r="AB368" s="22"/>
    </row>
    <row r="369" spans="1:28" x14ac:dyDescent="0.3">
      <c r="A369" s="22"/>
      <c r="B369" s="22"/>
      <c r="C369" s="22"/>
      <c r="D369" s="22"/>
      <c r="E369" s="22"/>
      <c r="F369" s="22"/>
      <c r="G369" s="22"/>
      <c r="H369" s="22"/>
      <c r="I369" s="24" t="str">
        <f t="shared" si="10"/>
        <v/>
      </c>
      <c r="J369" s="25" t="str">
        <f t="shared" si="11"/>
        <v/>
      </c>
      <c r="K369" s="22"/>
      <c r="L369" s="22"/>
      <c r="M369" s="25" t="str">
        <f>IF(AND(L369&gt;=ref!$L$2,L369&lt;=ref!$M$2),ref!$K$2,IF(AND(L369&gt;=ref!$L$3,L369&lt;=ref!$M$3),ref!$K$3,IF(AND(L369&gt;=ref!$L$4,L369&lt;=ref!$M$4),ref!$K$4,IF(AND(L369&gt;=ref!$L$5,L369&lt;=ref!$M$5),ref!$K$5,IF(AND(L369&gt;=ref!$L$6,L369&lt;=ref!$M$6),ref!$K$6,IF(AND(L369&gt;=ref!$L$7,L369&lt;=ref!$M$7),ref!$K$7,IF(AND(L369&gt;=ref!$L$8,L369&lt;=ref!$M$8),ref!$K$8,IF(AND(L369&gt;=ref!$L$9,L369&lt;=ref!$M$9),ref!$K$9,IF(AND(L369&gt;=ref!$L$11,L369&lt;=ref!$M$11),ref!$K$11,IF(AND(L369&gt;=ref!$L$12,L369&lt;=ref!$M$12),ref!$K$12,""))))))))))</f>
        <v/>
      </c>
      <c r="N369" s="22"/>
      <c r="O369" s="16"/>
      <c r="P369" s="22"/>
      <c r="Q369" s="27"/>
      <c r="R369" s="22"/>
      <c r="S369" s="22"/>
      <c r="T369" s="16"/>
      <c r="U369" s="16"/>
      <c r="V369" s="16"/>
      <c r="W369" s="16"/>
      <c r="X369" s="16"/>
      <c r="Y369" s="16"/>
      <c r="Z369" s="16"/>
      <c r="AA369" s="16"/>
      <c r="AB369" s="22"/>
    </row>
    <row r="370" spans="1:28" x14ac:dyDescent="0.3">
      <c r="A370" s="22"/>
      <c r="B370" s="22"/>
      <c r="C370" s="22"/>
      <c r="D370" s="22"/>
      <c r="E370" s="22"/>
      <c r="F370" s="22"/>
      <c r="G370" s="22"/>
      <c r="H370" s="22"/>
      <c r="I370" s="24" t="str">
        <f t="shared" si="10"/>
        <v/>
      </c>
      <c r="J370" s="25" t="str">
        <f t="shared" si="11"/>
        <v/>
      </c>
      <c r="K370" s="22"/>
      <c r="L370" s="22"/>
      <c r="M370" s="25" t="str">
        <f>IF(AND(L370&gt;=ref!$L$2,L370&lt;=ref!$M$2),ref!$K$2,IF(AND(L370&gt;=ref!$L$3,L370&lt;=ref!$M$3),ref!$K$3,IF(AND(L370&gt;=ref!$L$4,L370&lt;=ref!$M$4),ref!$K$4,IF(AND(L370&gt;=ref!$L$5,L370&lt;=ref!$M$5),ref!$K$5,IF(AND(L370&gt;=ref!$L$6,L370&lt;=ref!$M$6),ref!$K$6,IF(AND(L370&gt;=ref!$L$7,L370&lt;=ref!$M$7),ref!$K$7,IF(AND(L370&gt;=ref!$L$8,L370&lt;=ref!$M$8),ref!$K$8,IF(AND(L370&gt;=ref!$L$9,L370&lt;=ref!$M$9),ref!$K$9,IF(AND(L370&gt;=ref!$L$11,L370&lt;=ref!$M$11),ref!$K$11,IF(AND(L370&gt;=ref!$L$12,L370&lt;=ref!$M$12),ref!$K$12,""))))))))))</f>
        <v/>
      </c>
      <c r="N370" s="22"/>
      <c r="O370" s="16"/>
      <c r="P370" s="22"/>
      <c r="Q370" s="27"/>
      <c r="R370" s="22"/>
      <c r="S370" s="22"/>
      <c r="T370" s="16"/>
      <c r="U370" s="16"/>
      <c r="V370" s="16"/>
      <c r="W370" s="16"/>
      <c r="X370" s="16"/>
      <c r="Y370" s="16"/>
      <c r="Z370" s="16"/>
      <c r="AA370" s="16"/>
      <c r="AB370" s="22"/>
    </row>
    <row r="371" spans="1:28" x14ac:dyDescent="0.3">
      <c r="A371" s="22"/>
      <c r="B371" s="22"/>
      <c r="C371" s="22"/>
      <c r="D371" s="22"/>
      <c r="E371" s="22"/>
      <c r="F371" s="22"/>
      <c r="G371" s="22"/>
      <c r="H371" s="22"/>
      <c r="I371" s="24" t="str">
        <f t="shared" si="10"/>
        <v/>
      </c>
      <c r="J371" s="25" t="str">
        <f t="shared" si="11"/>
        <v/>
      </c>
      <c r="K371" s="22"/>
      <c r="L371" s="22"/>
      <c r="M371" s="25" t="str">
        <f>IF(AND(L371&gt;=ref!$L$2,L371&lt;=ref!$M$2),ref!$K$2,IF(AND(L371&gt;=ref!$L$3,L371&lt;=ref!$M$3),ref!$K$3,IF(AND(L371&gt;=ref!$L$4,L371&lt;=ref!$M$4),ref!$K$4,IF(AND(L371&gt;=ref!$L$5,L371&lt;=ref!$M$5),ref!$K$5,IF(AND(L371&gt;=ref!$L$6,L371&lt;=ref!$M$6),ref!$K$6,IF(AND(L371&gt;=ref!$L$7,L371&lt;=ref!$M$7),ref!$K$7,IF(AND(L371&gt;=ref!$L$8,L371&lt;=ref!$M$8),ref!$K$8,IF(AND(L371&gt;=ref!$L$9,L371&lt;=ref!$M$9),ref!$K$9,IF(AND(L371&gt;=ref!$L$11,L371&lt;=ref!$M$11),ref!$K$11,IF(AND(L371&gt;=ref!$L$12,L371&lt;=ref!$M$12),ref!$K$12,""))))))))))</f>
        <v/>
      </c>
      <c r="N371" s="22"/>
      <c r="O371" s="16"/>
      <c r="P371" s="22"/>
      <c r="Q371" s="27"/>
      <c r="R371" s="22"/>
      <c r="S371" s="22"/>
      <c r="T371" s="16"/>
      <c r="U371" s="16"/>
      <c r="V371" s="16"/>
      <c r="W371" s="16"/>
      <c r="X371" s="16"/>
      <c r="Y371" s="16"/>
      <c r="Z371" s="16"/>
      <c r="AA371" s="16"/>
      <c r="AB371" s="22"/>
    </row>
    <row r="372" spans="1:28" x14ac:dyDescent="0.3">
      <c r="A372" s="22"/>
      <c r="B372" s="22"/>
      <c r="C372" s="22"/>
      <c r="D372" s="22"/>
      <c r="E372" s="22"/>
      <c r="F372" s="22"/>
      <c r="G372" s="22"/>
      <c r="H372" s="22"/>
      <c r="I372" s="24" t="str">
        <f t="shared" si="10"/>
        <v/>
      </c>
      <c r="J372" s="25" t="str">
        <f t="shared" si="11"/>
        <v/>
      </c>
      <c r="K372" s="22"/>
      <c r="L372" s="22"/>
      <c r="M372" s="25" t="str">
        <f>IF(AND(L372&gt;=ref!$L$2,L372&lt;=ref!$M$2),ref!$K$2,IF(AND(L372&gt;=ref!$L$3,L372&lt;=ref!$M$3),ref!$K$3,IF(AND(L372&gt;=ref!$L$4,L372&lt;=ref!$M$4),ref!$K$4,IF(AND(L372&gt;=ref!$L$5,L372&lt;=ref!$M$5),ref!$K$5,IF(AND(L372&gt;=ref!$L$6,L372&lt;=ref!$M$6),ref!$K$6,IF(AND(L372&gt;=ref!$L$7,L372&lt;=ref!$M$7),ref!$K$7,IF(AND(L372&gt;=ref!$L$8,L372&lt;=ref!$M$8),ref!$K$8,IF(AND(L372&gt;=ref!$L$9,L372&lt;=ref!$M$9),ref!$K$9,IF(AND(L372&gt;=ref!$L$11,L372&lt;=ref!$M$11),ref!$K$11,IF(AND(L372&gt;=ref!$L$12,L372&lt;=ref!$M$12),ref!$K$12,""))))))))))</f>
        <v/>
      </c>
      <c r="N372" s="22"/>
      <c r="O372" s="16"/>
      <c r="P372" s="22"/>
      <c r="Q372" s="27"/>
      <c r="R372" s="22"/>
      <c r="S372" s="22"/>
      <c r="T372" s="16"/>
      <c r="U372" s="16"/>
      <c r="V372" s="16"/>
      <c r="W372" s="16"/>
      <c r="X372" s="16"/>
      <c r="Y372" s="16"/>
      <c r="Z372" s="16"/>
      <c r="AA372" s="16"/>
      <c r="AB372" s="22"/>
    </row>
    <row r="373" spans="1:28" x14ac:dyDescent="0.3">
      <c r="A373" s="22"/>
      <c r="B373" s="22"/>
      <c r="C373" s="22"/>
      <c r="D373" s="22"/>
      <c r="E373" s="22"/>
      <c r="F373" s="22"/>
      <c r="G373" s="22"/>
      <c r="H373" s="22"/>
      <c r="I373" s="24" t="str">
        <f t="shared" si="10"/>
        <v/>
      </c>
      <c r="J373" s="25" t="str">
        <f t="shared" si="11"/>
        <v/>
      </c>
      <c r="K373" s="22"/>
      <c r="L373" s="22"/>
      <c r="M373" s="25" t="str">
        <f>IF(AND(L373&gt;=ref!$L$2,L373&lt;=ref!$M$2),ref!$K$2,IF(AND(L373&gt;=ref!$L$3,L373&lt;=ref!$M$3),ref!$K$3,IF(AND(L373&gt;=ref!$L$4,L373&lt;=ref!$M$4),ref!$K$4,IF(AND(L373&gt;=ref!$L$5,L373&lt;=ref!$M$5),ref!$K$5,IF(AND(L373&gt;=ref!$L$6,L373&lt;=ref!$M$6),ref!$K$6,IF(AND(L373&gt;=ref!$L$7,L373&lt;=ref!$M$7),ref!$K$7,IF(AND(L373&gt;=ref!$L$8,L373&lt;=ref!$M$8),ref!$K$8,IF(AND(L373&gt;=ref!$L$9,L373&lt;=ref!$M$9),ref!$K$9,IF(AND(L373&gt;=ref!$L$11,L373&lt;=ref!$M$11),ref!$K$11,IF(AND(L373&gt;=ref!$L$12,L373&lt;=ref!$M$12),ref!$K$12,""))))))))))</f>
        <v/>
      </c>
      <c r="N373" s="22"/>
      <c r="O373" s="16"/>
      <c r="P373" s="22"/>
      <c r="Q373" s="27"/>
      <c r="R373" s="22"/>
      <c r="S373" s="22"/>
      <c r="T373" s="16"/>
      <c r="U373" s="16"/>
      <c r="V373" s="16"/>
      <c r="W373" s="16"/>
      <c r="X373" s="16"/>
      <c r="Y373" s="16"/>
      <c r="Z373" s="16"/>
      <c r="AA373" s="16"/>
      <c r="AB373" s="22"/>
    </row>
    <row r="374" spans="1:28" x14ac:dyDescent="0.3">
      <c r="A374" s="22"/>
      <c r="B374" s="22"/>
      <c r="C374" s="22"/>
      <c r="D374" s="22"/>
      <c r="E374" s="22"/>
      <c r="F374" s="22"/>
      <c r="G374" s="22"/>
      <c r="H374" s="22"/>
      <c r="I374" s="24" t="str">
        <f t="shared" si="10"/>
        <v/>
      </c>
      <c r="J374" s="25" t="str">
        <f t="shared" si="11"/>
        <v/>
      </c>
      <c r="K374" s="22"/>
      <c r="L374" s="22"/>
      <c r="M374" s="25" t="str">
        <f>IF(AND(L374&gt;=ref!$L$2,L374&lt;=ref!$M$2),ref!$K$2,IF(AND(L374&gt;=ref!$L$3,L374&lt;=ref!$M$3),ref!$K$3,IF(AND(L374&gt;=ref!$L$4,L374&lt;=ref!$M$4),ref!$K$4,IF(AND(L374&gt;=ref!$L$5,L374&lt;=ref!$M$5),ref!$K$5,IF(AND(L374&gt;=ref!$L$6,L374&lt;=ref!$M$6),ref!$K$6,IF(AND(L374&gt;=ref!$L$7,L374&lt;=ref!$M$7),ref!$K$7,IF(AND(L374&gt;=ref!$L$8,L374&lt;=ref!$M$8),ref!$K$8,IF(AND(L374&gt;=ref!$L$9,L374&lt;=ref!$M$9),ref!$K$9,IF(AND(L374&gt;=ref!$L$11,L374&lt;=ref!$M$11),ref!$K$11,IF(AND(L374&gt;=ref!$L$12,L374&lt;=ref!$M$12),ref!$K$12,""))))))))))</f>
        <v/>
      </c>
      <c r="N374" s="22"/>
      <c r="O374" s="16"/>
      <c r="P374" s="22"/>
      <c r="Q374" s="27"/>
      <c r="R374" s="22"/>
      <c r="S374" s="22"/>
      <c r="T374" s="16"/>
      <c r="U374" s="16"/>
      <c r="V374" s="16"/>
      <c r="W374" s="16"/>
      <c r="X374" s="16"/>
      <c r="Y374" s="16"/>
      <c r="Z374" s="16"/>
      <c r="AA374" s="16"/>
      <c r="AB374" s="22"/>
    </row>
    <row r="375" spans="1:28" x14ac:dyDescent="0.3">
      <c r="A375" s="22"/>
      <c r="B375" s="22"/>
      <c r="C375" s="22"/>
      <c r="D375" s="22"/>
      <c r="E375" s="22"/>
      <c r="F375" s="22"/>
      <c r="G375" s="22"/>
      <c r="H375" s="22"/>
      <c r="I375" s="24" t="str">
        <f t="shared" si="10"/>
        <v/>
      </c>
      <c r="J375" s="25" t="str">
        <f t="shared" si="11"/>
        <v/>
      </c>
      <c r="K375" s="22"/>
      <c r="L375" s="22"/>
      <c r="M375" s="25" t="str">
        <f>IF(AND(L375&gt;=ref!$L$2,L375&lt;=ref!$M$2),ref!$K$2,IF(AND(L375&gt;=ref!$L$3,L375&lt;=ref!$M$3),ref!$K$3,IF(AND(L375&gt;=ref!$L$4,L375&lt;=ref!$M$4),ref!$K$4,IF(AND(L375&gt;=ref!$L$5,L375&lt;=ref!$M$5),ref!$K$5,IF(AND(L375&gt;=ref!$L$6,L375&lt;=ref!$M$6),ref!$K$6,IF(AND(L375&gt;=ref!$L$7,L375&lt;=ref!$M$7),ref!$K$7,IF(AND(L375&gt;=ref!$L$8,L375&lt;=ref!$M$8),ref!$K$8,IF(AND(L375&gt;=ref!$L$9,L375&lt;=ref!$M$9),ref!$K$9,IF(AND(L375&gt;=ref!$L$11,L375&lt;=ref!$M$11),ref!$K$11,IF(AND(L375&gt;=ref!$L$12,L375&lt;=ref!$M$12),ref!$K$12,""))))))))))</f>
        <v/>
      </c>
      <c r="N375" s="22"/>
      <c r="O375" s="16"/>
      <c r="P375" s="22"/>
      <c r="Q375" s="27"/>
      <c r="R375" s="22"/>
      <c r="S375" s="22"/>
      <c r="T375" s="16"/>
      <c r="U375" s="16"/>
      <c r="V375" s="16"/>
      <c r="W375" s="16"/>
      <c r="X375" s="16"/>
      <c r="Y375" s="16"/>
      <c r="Z375" s="16"/>
      <c r="AA375" s="16"/>
      <c r="AB375" s="22"/>
    </row>
    <row r="376" spans="1:28" x14ac:dyDescent="0.3">
      <c r="A376" s="22"/>
      <c r="B376" s="22"/>
      <c r="C376" s="22"/>
      <c r="D376" s="22"/>
      <c r="E376" s="22"/>
      <c r="F376" s="22"/>
      <c r="G376" s="22"/>
      <c r="H376" s="22"/>
      <c r="I376" s="24" t="str">
        <f t="shared" si="10"/>
        <v/>
      </c>
      <c r="J376" s="25" t="str">
        <f t="shared" si="11"/>
        <v/>
      </c>
      <c r="K376" s="22"/>
      <c r="L376" s="22"/>
      <c r="M376" s="25" t="str">
        <f>IF(AND(L376&gt;=ref!$L$2,L376&lt;=ref!$M$2),ref!$K$2,IF(AND(L376&gt;=ref!$L$3,L376&lt;=ref!$M$3),ref!$K$3,IF(AND(L376&gt;=ref!$L$4,L376&lt;=ref!$M$4),ref!$K$4,IF(AND(L376&gt;=ref!$L$5,L376&lt;=ref!$M$5),ref!$K$5,IF(AND(L376&gt;=ref!$L$6,L376&lt;=ref!$M$6),ref!$K$6,IF(AND(L376&gt;=ref!$L$7,L376&lt;=ref!$M$7),ref!$K$7,IF(AND(L376&gt;=ref!$L$8,L376&lt;=ref!$M$8),ref!$K$8,IF(AND(L376&gt;=ref!$L$9,L376&lt;=ref!$M$9),ref!$K$9,IF(AND(L376&gt;=ref!$L$11,L376&lt;=ref!$M$11),ref!$K$11,IF(AND(L376&gt;=ref!$L$12,L376&lt;=ref!$M$12),ref!$K$12,""))))))))))</f>
        <v/>
      </c>
      <c r="N376" s="22"/>
      <c r="O376" s="16"/>
      <c r="P376" s="22"/>
      <c r="Q376" s="27"/>
      <c r="R376" s="22"/>
      <c r="S376" s="22"/>
      <c r="T376" s="16"/>
      <c r="U376" s="16"/>
      <c r="V376" s="16"/>
      <c r="W376" s="16"/>
      <c r="X376" s="16"/>
      <c r="Y376" s="16"/>
      <c r="Z376" s="16"/>
      <c r="AA376" s="16"/>
      <c r="AB376" s="22"/>
    </row>
    <row r="377" spans="1:28" x14ac:dyDescent="0.3">
      <c r="A377" s="22"/>
      <c r="B377" s="22"/>
      <c r="C377" s="22"/>
      <c r="D377" s="22"/>
      <c r="E377" s="22"/>
      <c r="F377" s="22"/>
      <c r="G377" s="22"/>
      <c r="H377" s="22"/>
      <c r="I377" s="24" t="str">
        <f t="shared" si="10"/>
        <v/>
      </c>
      <c r="J377" s="25" t="str">
        <f t="shared" si="11"/>
        <v/>
      </c>
      <c r="K377" s="22"/>
      <c r="L377" s="22"/>
      <c r="M377" s="25" t="str">
        <f>IF(AND(L377&gt;=ref!$L$2,L377&lt;=ref!$M$2),ref!$K$2,IF(AND(L377&gt;=ref!$L$3,L377&lt;=ref!$M$3),ref!$K$3,IF(AND(L377&gt;=ref!$L$4,L377&lt;=ref!$M$4),ref!$K$4,IF(AND(L377&gt;=ref!$L$5,L377&lt;=ref!$M$5),ref!$K$5,IF(AND(L377&gt;=ref!$L$6,L377&lt;=ref!$M$6),ref!$K$6,IF(AND(L377&gt;=ref!$L$7,L377&lt;=ref!$M$7),ref!$K$7,IF(AND(L377&gt;=ref!$L$8,L377&lt;=ref!$M$8),ref!$K$8,IF(AND(L377&gt;=ref!$L$9,L377&lt;=ref!$M$9),ref!$K$9,IF(AND(L377&gt;=ref!$L$11,L377&lt;=ref!$M$11),ref!$K$11,IF(AND(L377&gt;=ref!$L$12,L377&lt;=ref!$M$12),ref!$K$12,""))))))))))</f>
        <v/>
      </c>
      <c r="N377" s="22"/>
      <c r="O377" s="16"/>
      <c r="P377" s="22"/>
      <c r="Q377" s="27"/>
      <c r="R377" s="22"/>
      <c r="S377" s="22"/>
      <c r="T377" s="16"/>
      <c r="U377" s="16"/>
      <c r="V377" s="16"/>
      <c r="W377" s="16"/>
      <c r="X377" s="16"/>
      <c r="Y377" s="16"/>
      <c r="Z377" s="16"/>
      <c r="AA377" s="16"/>
      <c r="AB377" s="22"/>
    </row>
    <row r="378" spans="1:28" x14ac:dyDescent="0.3">
      <c r="A378" s="22"/>
      <c r="B378" s="22"/>
      <c r="C378" s="22"/>
      <c r="D378" s="22"/>
      <c r="E378" s="22"/>
      <c r="F378" s="22"/>
      <c r="G378" s="22"/>
      <c r="H378" s="22"/>
      <c r="I378" s="24" t="str">
        <f t="shared" si="10"/>
        <v/>
      </c>
      <c r="J378" s="25" t="str">
        <f t="shared" si="11"/>
        <v/>
      </c>
      <c r="K378" s="22"/>
      <c r="L378" s="22"/>
      <c r="M378" s="25" t="str">
        <f>IF(AND(L378&gt;=ref!$L$2,L378&lt;=ref!$M$2),ref!$K$2,IF(AND(L378&gt;=ref!$L$3,L378&lt;=ref!$M$3),ref!$K$3,IF(AND(L378&gt;=ref!$L$4,L378&lt;=ref!$M$4),ref!$K$4,IF(AND(L378&gt;=ref!$L$5,L378&lt;=ref!$M$5),ref!$K$5,IF(AND(L378&gt;=ref!$L$6,L378&lt;=ref!$M$6),ref!$K$6,IF(AND(L378&gt;=ref!$L$7,L378&lt;=ref!$M$7),ref!$K$7,IF(AND(L378&gt;=ref!$L$8,L378&lt;=ref!$M$8),ref!$K$8,IF(AND(L378&gt;=ref!$L$9,L378&lt;=ref!$M$9),ref!$K$9,IF(AND(L378&gt;=ref!$L$11,L378&lt;=ref!$M$11),ref!$K$11,IF(AND(L378&gt;=ref!$L$12,L378&lt;=ref!$M$12),ref!$K$12,""))))))))))</f>
        <v/>
      </c>
      <c r="N378" s="22"/>
      <c r="O378" s="16"/>
      <c r="P378" s="22"/>
      <c r="Q378" s="27"/>
      <c r="R378" s="22"/>
      <c r="S378" s="22"/>
      <c r="T378" s="16"/>
      <c r="U378" s="16"/>
      <c r="V378" s="16"/>
      <c r="W378" s="16"/>
      <c r="X378" s="16"/>
      <c r="Y378" s="16"/>
      <c r="Z378" s="16"/>
      <c r="AA378" s="16"/>
      <c r="AB378" s="22"/>
    </row>
    <row r="379" spans="1:28" x14ac:dyDescent="0.3">
      <c r="A379" s="22"/>
      <c r="B379" s="22"/>
      <c r="C379" s="22"/>
      <c r="D379" s="22"/>
      <c r="E379" s="22"/>
      <c r="F379" s="22"/>
      <c r="G379" s="22"/>
      <c r="H379" s="22"/>
      <c r="I379" s="24" t="str">
        <f t="shared" si="10"/>
        <v/>
      </c>
      <c r="J379" s="25" t="str">
        <f t="shared" si="11"/>
        <v/>
      </c>
      <c r="K379" s="22"/>
      <c r="L379" s="22"/>
      <c r="M379" s="25" t="str">
        <f>IF(AND(L379&gt;=ref!$L$2,L379&lt;=ref!$M$2),ref!$K$2,IF(AND(L379&gt;=ref!$L$3,L379&lt;=ref!$M$3),ref!$K$3,IF(AND(L379&gt;=ref!$L$4,L379&lt;=ref!$M$4),ref!$K$4,IF(AND(L379&gt;=ref!$L$5,L379&lt;=ref!$M$5),ref!$K$5,IF(AND(L379&gt;=ref!$L$6,L379&lt;=ref!$M$6),ref!$K$6,IF(AND(L379&gt;=ref!$L$7,L379&lt;=ref!$M$7),ref!$K$7,IF(AND(L379&gt;=ref!$L$8,L379&lt;=ref!$M$8),ref!$K$8,IF(AND(L379&gt;=ref!$L$9,L379&lt;=ref!$M$9),ref!$K$9,IF(AND(L379&gt;=ref!$L$11,L379&lt;=ref!$M$11),ref!$K$11,IF(AND(L379&gt;=ref!$L$12,L379&lt;=ref!$M$12),ref!$K$12,""))))))))))</f>
        <v/>
      </c>
      <c r="N379" s="22"/>
      <c r="O379" s="16"/>
      <c r="P379" s="22"/>
      <c r="Q379" s="27"/>
      <c r="R379" s="22"/>
      <c r="S379" s="22"/>
      <c r="T379" s="16"/>
      <c r="U379" s="16"/>
      <c r="V379" s="16"/>
      <c r="W379" s="16"/>
      <c r="X379" s="16"/>
      <c r="Y379" s="16"/>
      <c r="Z379" s="16"/>
      <c r="AA379" s="16"/>
      <c r="AB379" s="22"/>
    </row>
    <row r="380" spans="1:28" x14ac:dyDescent="0.3">
      <c r="A380" s="22"/>
      <c r="B380" s="22"/>
      <c r="C380" s="22"/>
      <c r="D380" s="22"/>
      <c r="E380" s="22"/>
      <c r="F380" s="22"/>
      <c r="G380" s="22"/>
      <c r="H380" s="22"/>
      <c r="I380" s="24" t="str">
        <f t="shared" si="10"/>
        <v/>
      </c>
      <c r="J380" s="25" t="str">
        <f t="shared" si="11"/>
        <v/>
      </c>
      <c r="K380" s="22"/>
      <c r="L380" s="22"/>
      <c r="M380" s="25" t="str">
        <f>IF(AND(L380&gt;=ref!$L$2,L380&lt;=ref!$M$2),ref!$K$2,IF(AND(L380&gt;=ref!$L$3,L380&lt;=ref!$M$3),ref!$K$3,IF(AND(L380&gt;=ref!$L$4,L380&lt;=ref!$M$4),ref!$K$4,IF(AND(L380&gt;=ref!$L$5,L380&lt;=ref!$M$5),ref!$K$5,IF(AND(L380&gt;=ref!$L$6,L380&lt;=ref!$M$6),ref!$K$6,IF(AND(L380&gt;=ref!$L$7,L380&lt;=ref!$M$7),ref!$K$7,IF(AND(L380&gt;=ref!$L$8,L380&lt;=ref!$M$8),ref!$K$8,IF(AND(L380&gt;=ref!$L$9,L380&lt;=ref!$M$9),ref!$K$9,IF(AND(L380&gt;=ref!$L$11,L380&lt;=ref!$M$11),ref!$K$11,IF(AND(L380&gt;=ref!$L$12,L380&lt;=ref!$M$12),ref!$K$12,""))))))))))</f>
        <v/>
      </c>
      <c r="N380" s="22"/>
      <c r="O380" s="16"/>
      <c r="P380" s="22"/>
      <c r="Q380" s="27"/>
      <c r="R380" s="22"/>
      <c r="S380" s="22"/>
      <c r="T380" s="16"/>
      <c r="U380" s="16"/>
      <c r="V380" s="16"/>
      <c r="W380" s="16"/>
      <c r="X380" s="16"/>
      <c r="Y380" s="16"/>
      <c r="Z380" s="16"/>
      <c r="AA380" s="16"/>
      <c r="AB380" s="22"/>
    </row>
    <row r="381" spans="1:28" x14ac:dyDescent="0.3">
      <c r="A381" s="22"/>
      <c r="B381" s="22"/>
      <c r="C381" s="22"/>
      <c r="D381" s="22"/>
      <c r="E381" s="22"/>
      <c r="F381" s="22"/>
      <c r="G381" s="22"/>
      <c r="H381" s="22"/>
      <c r="I381" s="24" t="str">
        <f t="shared" si="10"/>
        <v/>
      </c>
      <c r="J381" s="25" t="str">
        <f t="shared" si="11"/>
        <v/>
      </c>
      <c r="K381" s="22"/>
      <c r="L381" s="22"/>
      <c r="M381" s="25" t="str">
        <f>IF(AND(L381&gt;=ref!$L$2,L381&lt;=ref!$M$2),ref!$K$2,IF(AND(L381&gt;=ref!$L$3,L381&lt;=ref!$M$3),ref!$K$3,IF(AND(L381&gt;=ref!$L$4,L381&lt;=ref!$M$4),ref!$K$4,IF(AND(L381&gt;=ref!$L$5,L381&lt;=ref!$M$5),ref!$K$5,IF(AND(L381&gt;=ref!$L$6,L381&lt;=ref!$M$6),ref!$K$6,IF(AND(L381&gt;=ref!$L$7,L381&lt;=ref!$M$7),ref!$K$7,IF(AND(L381&gt;=ref!$L$8,L381&lt;=ref!$M$8),ref!$K$8,IF(AND(L381&gt;=ref!$L$9,L381&lt;=ref!$M$9),ref!$K$9,IF(AND(L381&gt;=ref!$L$11,L381&lt;=ref!$M$11),ref!$K$11,IF(AND(L381&gt;=ref!$L$12,L381&lt;=ref!$M$12),ref!$K$12,""))))))))))</f>
        <v/>
      </c>
      <c r="N381" s="22"/>
      <c r="O381" s="16"/>
      <c r="P381" s="22"/>
      <c r="Q381" s="27"/>
      <c r="R381" s="22"/>
      <c r="S381" s="22"/>
      <c r="T381" s="16"/>
      <c r="U381" s="16"/>
      <c r="V381" s="16"/>
      <c r="W381" s="16"/>
      <c r="X381" s="16"/>
      <c r="Y381" s="16"/>
      <c r="Z381" s="16"/>
      <c r="AA381" s="16"/>
      <c r="AB381" s="22"/>
    </row>
    <row r="382" spans="1:28" x14ac:dyDescent="0.3">
      <c r="A382" s="22"/>
      <c r="B382" s="22"/>
      <c r="C382" s="22"/>
      <c r="D382" s="22"/>
      <c r="E382" s="22"/>
      <c r="F382" s="22"/>
      <c r="G382" s="22"/>
      <c r="H382" s="22"/>
      <c r="I382" s="24" t="str">
        <f t="shared" si="10"/>
        <v/>
      </c>
      <c r="J382" s="25" t="str">
        <f t="shared" si="11"/>
        <v/>
      </c>
      <c r="K382" s="22"/>
      <c r="L382" s="22"/>
      <c r="M382" s="25" t="str">
        <f>IF(AND(L382&gt;=ref!$L$2,L382&lt;=ref!$M$2),ref!$K$2,IF(AND(L382&gt;=ref!$L$3,L382&lt;=ref!$M$3),ref!$K$3,IF(AND(L382&gt;=ref!$L$4,L382&lt;=ref!$M$4),ref!$K$4,IF(AND(L382&gt;=ref!$L$5,L382&lt;=ref!$M$5),ref!$K$5,IF(AND(L382&gt;=ref!$L$6,L382&lt;=ref!$M$6),ref!$K$6,IF(AND(L382&gt;=ref!$L$7,L382&lt;=ref!$M$7),ref!$K$7,IF(AND(L382&gt;=ref!$L$8,L382&lt;=ref!$M$8),ref!$K$8,IF(AND(L382&gt;=ref!$L$9,L382&lt;=ref!$M$9),ref!$K$9,IF(AND(L382&gt;=ref!$L$11,L382&lt;=ref!$M$11),ref!$K$11,IF(AND(L382&gt;=ref!$L$12,L382&lt;=ref!$M$12),ref!$K$12,""))))))))))</f>
        <v/>
      </c>
      <c r="N382" s="22"/>
      <c r="O382" s="16"/>
      <c r="P382" s="22"/>
      <c r="Q382" s="27"/>
      <c r="R382" s="22"/>
      <c r="S382" s="22"/>
      <c r="T382" s="16"/>
      <c r="U382" s="16"/>
      <c r="V382" s="16"/>
      <c r="W382" s="16"/>
      <c r="X382" s="16"/>
      <c r="Y382" s="16"/>
      <c r="Z382" s="16"/>
      <c r="AA382" s="16"/>
      <c r="AB382" s="22"/>
    </row>
    <row r="383" spans="1:28" x14ac:dyDescent="0.3">
      <c r="A383" s="22"/>
      <c r="B383" s="22"/>
      <c r="C383" s="22"/>
      <c r="D383" s="22"/>
      <c r="E383" s="22"/>
      <c r="F383" s="22"/>
      <c r="G383" s="22"/>
      <c r="H383" s="22"/>
      <c r="I383" s="24" t="str">
        <f t="shared" si="10"/>
        <v/>
      </c>
      <c r="J383" s="25" t="str">
        <f t="shared" si="11"/>
        <v/>
      </c>
      <c r="K383" s="22"/>
      <c r="L383" s="22"/>
      <c r="M383" s="25" t="str">
        <f>IF(AND(L383&gt;=ref!$L$2,L383&lt;=ref!$M$2),ref!$K$2,IF(AND(L383&gt;=ref!$L$3,L383&lt;=ref!$M$3),ref!$K$3,IF(AND(L383&gt;=ref!$L$4,L383&lt;=ref!$M$4),ref!$K$4,IF(AND(L383&gt;=ref!$L$5,L383&lt;=ref!$M$5),ref!$K$5,IF(AND(L383&gt;=ref!$L$6,L383&lt;=ref!$M$6),ref!$K$6,IF(AND(L383&gt;=ref!$L$7,L383&lt;=ref!$M$7),ref!$K$7,IF(AND(L383&gt;=ref!$L$8,L383&lt;=ref!$M$8),ref!$K$8,IF(AND(L383&gt;=ref!$L$9,L383&lt;=ref!$M$9),ref!$K$9,IF(AND(L383&gt;=ref!$L$11,L383&lt;=ref!$M$11),ref!$K$11,IF(AND(L383&gt;=ref!$L$12,L383&lt;=ref!$M$12),ref!$K$12,""))))))))))</f>
        <v/>
      </c>
      <c r="N383" s="22"/>
      <c r="O383" s="16"/>
      <c r="P383" s="22"/>
      <c r="Q383" s="27"/>
      <c r="R383" s="22"/>
      <c r="S383" s="22"/>
      <c r="T383" s="16"/>
      <c r="U383" s="16"/>
      <c r="V383" s="16"/>
      <c r="W383" s="16"/>
      <c r="X383" s="16"/>
      <c r="Y383" s="16"/>
      <c r="Z383" s="16"/>
      <c r="AA383" s="16"/>
      <c r="AB383" s="22"/>
    </row>
    <row r="384" spans="1:28" x14ac:dyDescent="0.3">
      <c r="A384" s="22"/>
      <c r="B384" s="22"/>
      <c r="C384" s="22"/>
      <c r="D384" s="22"/>
      <c r="E384" s="22"/>
      <c r="F384" s="22"/>
      <c r="G384" s="22"/>
      <c r="H384" s="22"/>
      <c r="I384" s="24" t="str">
        <f t="shared" si="10"/>
        <v/>
      </c>
      <c r="J384" s="25" t="str">
        <f t="shared" si="11"/>
        <v/>
      </c>
      <c r="K384" s="22"/>
      <c r="L384" s="22"/>
      <c r="M384" s="25" t="str">
        <f>IF(AND(L384&gt;=ref!$L$2,L384&lt;=ref!$M$2),ref!$K$2,IF(AND(L384&gt;=ref!$L$3,L384&lt;=ref!$M$3),ref!$K$3,IF(AND(L384&gt;=ref!$L$4,L384&lt;=ref!$M$4),ref!$K$4,IF(AND(L384&gt;=ref!$L$5,L384&lt;=ref!$M$5),ref!$K$5,IF(AND(L384&gt;=ref!$L$6,L384&lt;=ref!$M$6),ref!$K$6,IF(AND(L384&gt;=ref!$L$7,L384&lt;=ref!$M$7),ref!$K$7,IF(AND(L384&gt;=ref!$L$8,L384&lt;=ref!$M$8),ref!$K$8,IF(AND(L384&gt;=ref!$L$9,L384&lt;=ref!$M$9),ref!$K$9,IF(AND(L384&gt;=ref!$L$11,L384&lt;=ref!$M$11),ref!$K$11,IF(AND(L384&gt;=ref!$L$12,L384&lt;=ref!$M$12),ref!$K$12,""))))))))))</f>
        <v/>
      </c>
      <c r="N384" s="22"/>
      <c r="O384" s="16"/>
      <c r="P384" s="22"/>
      <c r="Q384" s="27"/>
      <c r="R384" s="22"/>
      <c r="S384" s="22"/>
      <c r="T384" s="16"/>
      <c r="U384" s="16"/>
      <c r="V384" s="16"/>
      <c r="W384" s="16"/>
      <c r="X384" s="16"/>
      <c r="Y384" s="16"/>
      <c r="Z384" s="16"/>
      <c r="AA384" s="16"/>
      <c r="AB384" s="22"/>
    </row>
    <row r="385" spans="1:28" x14ac:dyDescent="0.3">
      <c r="A385" s="22"/>
      <c r="B385" s="22"/>
      <c r="C385" s="22"/>
      <c r="D385" s="22"/>
      <c r="E385" s="22"/>
      <c r="F385" s="22"/>
      <c r="G385" s="22"/>
      <c r="H385" s="22"/>
      <c r="I385" s="24" t="str">
        <f t="shared" si="10"/>
        <v/>
      </c>
      <c r="J385" s="25" t="str">
        <f t="shared" si="11"/>
        <v/>
      </c>
      <c r="K385" s="22"/>
      <c r="L385" s="22"/>
      <c r="M385" s="25" t="str">
        <f>IF(AND(L385&gt;=ref!$L$2,L385&lt;=ref!$M$2),ref!$K$2,IF(AND(L385&gt;=ref!$L$3,L385&lt;=ref!$M$3),ref!$K$3,IF(AND(L385&gt;=ref!$L$4,L385&lt;=ref!$M$4),ref!$K$4,IF(AND(L385&gt;=ref!$L$5,L385&lt;=ref!$M$5),ref!$K$5,IF(AND(L385&gt;=ref!$L$6,L385&lt;=ref!$M$6),ref!$K$6,IF(AND(L385&gt;=ref!$L$7,L385&lt;=ref!$M$7),ref!$K$7,IF(AND(L385&gt;=ref!$L$8,L385&lt;=ref!$M$8),ref!$K$8,IF(AND(L385&gt;=ref!$L$9,L385&lt;=ref!$M$9),ref!$K$9,IF(AND(L385&gt;=ref!$L$11,L385&lt;=ref!$M$11),ref!$K$11,IF(AND(L385&gt;=ref!$L$12,L385&lt;=ref!$M$12),ref!$K$12,""))))))))))</f>
        <v/>
      </c>
      <c r="N385" s="22"/>
      <c r="O385" s="16"/>
      <c r="P385" s="22"/>
      <c r="Q385" s="27"/>
      <c r="R385" s="22"/>
      <c r="S385" s="22"/>
      <c r="T385" s="16"/>
      <c r="U385" s="16"/>
      <c r="V385" s="16"/>
      <c r="W385" s="16"/>
      <c r="X385" s="16"/>
      <c r="Y385" s="16"/>
      <c r="Z385" s="16"/>
      <c r="AA385" s="16"/>
      <c r="AB385" s="22"/>
    </row>
    <row r="386" spans="1:28" x14ac:dyDescent="0.3">
      <c r="A386" s="22"/>
      <c r="B386" s="22"/>
      <c r="C386" s="22"/>
      <c r="D386" s="22"/>
      <c r="E386" s="22"/>
      <c r="F386" s="22"/>
      <c r="G386" s="22"/>
      <c r="H386" s="22"/>
      <c r="I386" s="24" t="str">
        <f t="shared" si="10"/>
        <v/>
      </c>
      <c r="J386" s="25" t="str">
        <f t="shared" si="11"/>
        <v/>
      </c>
      <c r="K386" s="22"/>
      <c r="L386" s="22"/>
      <c r="M386" s="25" t="str">
        <f>IF(AND(L386&gt;=ref!$L$2,L386&lt;=ref!$M$2),ref!$K$2,IF(AND(L386&gt;=ref!$L$3,L386&lt;=ref!$M$3),ref!$K$3,IF(AND(L386&gt;=ref!$L$4,L386&lt;=ref!$M$4),ref!$K$4,IF(AND(L386&gt;=ref!$L$5,L386&lt;=ref!$M$5),ref!$K$5,IF(AND(L386&gt;=ref!$L$6,L386&lt;=ref!$M$6),ref!$K$6,IF(AND(L386&gt;=ref!$L$7,L386&lt;=ref!$M$7),ref!$K$7,IF(AND(L386&gt;=ref!$L$8,L386&lt;=ref!$M$8),ref!$K$8,IF(AND(L386&gt;=ref!$L$9,L386&lt;=ref!$M$9),ref!$K$9,IF(AND(L386&gt;=ref!$L$11,L386&lt;=ref!$M$11),ref!$K$11,IF(AND(L386&gt;=ref!$L$12,L386&lt;=ref!$M$12),ref!$K$12,""))))))))))</f>
        <v/>
      </c>
      <c r="N386" s="22"/>
      <c r="O386" s="16"/>
      <c r="P386" s="22"/>
      <c r="Q386" s="27"/>
      <c r="R386" s="22"/>
      <c r="S386" s="22"/>
      <c r="T386" s="16"/>
      <c r="U386" s="16"/>
      <c r="V386" s="16"/>
      <c r="W386" s="16"/>
      <c r="X386" s="16"/>
      <c r="Y386" s="16"/>
      <c r="Z386" s="16"/>
      <c r="AA386" s="16"/>
      <c r="AB386" s="22"/>
    </row>
    <row r="387" spans="1:28" x14ac:dyDescent="0.3">
      <c r="A387" s="22"/>
      <c r="B387" s="22"/>
      <c r="C387" s="22"/>
      <c r="D387" s="22"/>
      <c r="E387" s="22"/>
      <c r="F387" s="22"/>
      <c r="G387" s="22"/>
      <c r="H387" s="22"/>
      <c r="I387" s="24" t="str">
        <f t="shared" si="10"/>
        <v/>
      </c>
      <c r="J387" s="25" t="str">
        <f t="shared" si="11"/>
        <v/>
      </c>
      <c r="K387" s="22"/>
      <c r="L387" s="22"/>
      <c r="M387" s="25" t="str">
        <f>IF(AND(L387&gt;=ref!$L$2,L387&lt;=ref!$M$2),ref!$K$2,IF(AND(L387&gt;=ref!$L$3,L387&lt;=ref!$M$3),ref!$K$3,IF(AND(L387&gt;=ref!$L$4,L387&lt;=ref!$M$4),ref!$K$4,IF(AND(L387&gt;=ref!$L$5,L387&lt;=ref!$M$5),ref!$K$5,IF(AND(L387&gt;=ref!$L$6,L387&lt;=ref!$M$6),ref!$K$6,IF(AND(L387&gt;=ref!$L$7,L387&lt;=ref!$M$7),ref!$K$7,IF(AND(L387&gt;=ref!$L$8,L387&lt;=ref!$M$8),ref!$K$8,IF(AND(L387&gt;=ref!$L$9,L387&lt;=ref!$M$9),ref!$K$9,IF(AND(L387&gt;=ref!$L$11,L387&lt;=ref!$M$11),ref!$K$11,IF(AND(L387&gt;=ref!$L$12,L387&lt;=ref!$M$12),ref!$K$12,""))))))))))</f>
        <v/>
      </c>
      <c r="N387" s="22"/>
      <c r="O387" s="16"/>
      <c r="P387" s="22"/>
      <c r="Q387" s="27"/>
      <c r="R387" s="22"/>
      <c r="S387" s="22"/>
      <c r="T387" s="16"/>
      <c r="U387" s="16"/>
      <c r="V387" s="16"/>
      <c r="W387" s="16"/>
      <c r="X387" s="16"/>
      <c r="Y387" s="16"/>
      <c r="Z387" s="16"/>
      <c r="AA387" s="16"/>
      <c r="AB387" s="22"/>
    </row>
    <row r="388" spans="1:28" x14ac:dyDescent="0.3">
      <c r="A388" s="22"/>
      <c r="B388" s="22"/>
      <c r="C388" s="22"/>
      <c r="D388" s="22"/>
      <c r="E388" s="22"/>
      <c r="F388" s="22"/>
      <c r="G388" s="22"/>
      <c r="H388" s="22"/>
      <c r="I388" s="24" t="str">
        <f t="shared" si="10"/>
        <v/>
      </c>
      <c r="J388" s="25" t="str">
        <f t="shared" si="11"/>
        <v/>
      </c>
      <c r="K388" s="22"/>
      <c r="L388" s="22"/>
      <c r="M388" s="25" t="str">
        <f>IF(AND(L388&gt;=ref!$L$2,L388&lt;=ref!$M$2),ref!$K$2,IF(AND(L388&gt;=ref!$L$3,L388&lt;=ref!$M$3),ref!$K$3,IF(AND(L388&gt;=ref!$L$4,L388&lt;=ref!$M$4),ref!$K$4,IF(AND(L388&gt;=ref!$L$5,L388&lt;=ref!$M$5),ref!$K$5,IF(AND(L388&gt;=ref!$L$6,L388&lt;=ref!$M$6),ref!$K$6,IF(AND(L388&gt;=ref!$L$7,L388&lt;=ref!$M$7),ref!$K$7,IF(AND(L388&gt;=ref!$L$8,L388&lt;=ref!$M$8),ref!$K$8,IF(AND(L388&gt;=ref!$L$9,L388&lt;=ref!$M$9),ref!$K$9,IF(AND(L388&gt;=ref!$L$11,L388&lt;=ref!$M$11),ref!$K$11,IF(AND(L388&gt;=ref!$L$12,L388&lt;=ref!$M$12),ref!$K$12,""))))))))))</f>
        <v/>
      </c>
      <c r="N388" s="22"/>
      <c r="O388" s="16"/>
      <c r="P388" s="22"/>
      <c r="Q388" s="27"/>
      <c r="R388" s="22"/>
      <c r="S388" s="22"/>
      <c r="T388" s="16"/>
      <c r="U388" s="16"/>
      <c r="V388" s="16"/>
      <c r="W388" s="16"/>
      <c r="X388" s="16"/>
      <c r="Y388" s="16"/>
      <c r="Z388" s="16"/>
      <c r="AA388" s="16"/>
      <c r="AB388" s="22"/>
    </row>
    <row r="389" spans="1:28" x14ac:dyDescent="0.3">
      <c r="A389" s="22"/>
      <c r="B389" s="22"/>
      <c r="C389" s="22"/>
      <c r="D389" s="22"/>
      <c r="E389" s="22"/>
      <c r="F389" s="22"/>
      <c r="G389" s="22"/>
      <c r="H389" s="22"/>
      <c r="I389" s="24" t="str">
        <f t="shared" si="10"/>
        <v/>
      </c>
      <c r="J389" s="25" t="str">
        <f t="shared" si="11"/>
        <v/>
      </c>
      <c r="K389" s="22"/>
      <c r="L389" s="22"/>
      <c r="M389" s="25" t="str">
        <f>IF(AND(L389&gt;=ref!$L$2,L389&lt;=ref!$M$2),ref!$K$2,IF(AND(L389&gt;=ref!$L$3,L389&lt;=ref!$M$3),ref!$K$3,IF(AND(L389&gt;=ref!$L$4,L389&lt;=ref!$M$4),ref!$K$4,IF(AND(L389&gt;=ref!$L$5,L389&lt;=ref!$M$5),ref!$K$5,IF(AND(L389&gt;=ref!$L$6,L389&lt;=ref!$M$6),ref!$K$6,IF(AND(L389&gt;=ref!$L$7,L389&lt;=ref!$M$7),ref!$K$7,IF(AND(L389&gt;=ref!$L$8,L389&lt;=ref!$M$8),ref!$K$8,IF(AND(L389&gt;=ref!$L$9,L389&lt;=ref!$M$9),ref!$K$9,IF(AND(L389&gt;=ref!$L$11,L389&lt;=ref!$M$11),ref!$K$11,IF(AND(L389&gt;=ref!$L$12,L389&lt;=ref!$M$12),ref!$K$12,""))))))))))</f>
        <v/>
      </c>
      <c r="N389" s="22"/>
      <c r="O389" s="16"/>
      <c r="P389" s="22"/>
      <c r="Q389" s="27"/>
      <c r="R389" s="22"/>
      <c r="S389" s="22"/>
      <c r="T389" s="16"/>
      <c r="U389" s="16"/>
      <c r="V389" s="16"/>
      <c r="W389" s="16"/>
      <c r="X389" s="16"/>
      <c r="Y389" s="16"/>
      <c r="Z389" s="16"/>
      <c r="AA389" s="16"/>
      <c r="AB389" s="22"/>
    </row>
    <row r="390" spans="1:28" x14ac:dyDescent="0.3">
      <c r="A390" s="22"/>
      <c r="B390" s="22"/>
      <c r="C390" s="22"/>
      <c r="D390" s="22"/>
      <c r="E390" s="22"/>
      <c r="F390" s="22"/>
      <c r="G390" s="22"/>
      <c r="H390" s="22"/>
      <c r="I390" s="24" t="str">
        <f t="shared" si="10"/>
        <v/>
      </c>
      <c r="J390" s="25" t="str">
        <f t="shared" si="11"/>
        <v/>
      </c>
      <c r="K390" s="22"/>
      <c r="L390" s="22"/>
      <c r="M390" s="25" t="str">
        <f>IF(AND(L390&gt;=ref!$L$2,L390&lt;=ref!$M$2),ref!$K$2,IF(AND(L390&gt;=ref!$L$3,L390&lt;=ref!$M$3),ref!$K$3,IF(AND(L390&gt;=ref!$L$4,L390&lt;=ref!$M$4),ref!$K$4,IF(AND(L390&gt;=ref!$L$5,L390&lt;=ref!$M$5),ref!$K$5,IF(AND(L390&gt;=ref!$L$6,L390&lt;=ref!$M$6),ref!$K$6,IF(AND(L390&gt;=ref!$L$7,L390&lt;=ref!$M$7),ref!$K$7,IF(AND(L390&gt;=ref!$L$8,L390&lt;=ref!$M$8),ref!$K$8,IF(AND(L390&gt;=ref!$L$9,L390&lt;=ref!$M$9),ref!$K$9,IF(AND(L390&gt;=ref!$L$11,L390&lt;=ref!$M$11),ref!$K$11,IF(AND(L390&gt;=ref!$L$12,L390&lt;=ref!$M$12),ref!$K$12,""))))))))))</f>
        <v/>
      </c>
      <c r="N390" s="22"/>
      <c r="O390" s="16"/>
      <c r="P390" s="22"/>
      <c r="Q390" s="27"/>
      <c r="R390" s="22"/>
      <c r="S390" s="22"/>
      <c r="T390" s="16"/>
      <c r="U390" s="16"/>
      <c r="V390" s="16"/>
      <c r="W390" s="16"/>
      <c r="X390" s="16"/>
      <c r="Y390" s="16"/>
      <c r="Z390" s="16"/>
      <c r="AA390" s="16"/>
      <c r="AB390" s="22"/>
    </row>
    <row r="391" spans="1:28" x14ac:dyDescent="0.3">
      <c r="A391" s="22"/>
      <c r="B391" s="22"/>
      <c r="C391" s="22"/>
      <c r="D391" s="22"/>
      <c r="E391" s="22"/>
      <c r="F391" s="22"/>
      <c r="G391" s="22"/>
      <c r="H391" s="22"/>
      <c r="I391" s="24" t="str">
        <f t="shared" ref="I391:I423" si="12">IF(H391="","",IF(H391-D391&lt;=30,"Yes","No"))</f>
        <v/>
      </c>
      <c r="J391" s="25" t="str">
        <f t="shared" ref="J391:J423" si="13">IF(H391&lt;&gt;"",TEXT(H391,"ddd"),"")</f>
        <v/>
      </c>
      <c r="K391" s="22"/>
      <c r="L391" s="22"/>
      <c r="M391" s="25" t="str">
        <f>IF(AND(L391&gt;=ref!$L$2,L391&lt;=ref!$M$2),ref!$K$2,IF(AND(L391&gt;=ref!$L$3,L391&lt;=ref!$M$3),ref!$K$3,IF(AND(L391&gt;=ref!$L$4,L391&lt;=ref!$M$4),ref!$K$4,IF(AND(L391&gt;=ref!$L$5,L391&lt;=ref!$M$5),ref!$K$5,IF(AND(L391&gt;=ref!$L$6,L391&lt;=ref!$M$6),ref!$K$6,IF(AND(L391&gt;=ref!$L$7,L391&lt;=ref!$M$7),ref!$K$7,IF(AND(L391&gt;=ref!$L$8,L391&lt;=ref!$M$8),ref!$K$8,IF(AND(L391&gt;=ref!$L$9,L391&lt;=ref!$M$9),ref!$K$9,IF(AND(L391&gt;=ref!$L$11,L391&lt;=ref!$M$11),ref!$K$11,IF(AND(L391&gt;=ref!$L$12,L391&lt;=ref!$M$12),ref!$K$12,""))))))))))</f>
        <v/>
      </c>
      <c r="N391" s="22"/>
      <c r="O391" s="16"/>
      <c r="P391" s="22"/>
      <c r="Q391" s="27"/>
      <c r="R391" s="22"/>
      <c r="S391" s="22"/>
      <c r="T391" s="16"/>
      <c r="U391" s="16"/>
      <c r="V391" s="16"/>
      <c r="W391" s="16"/>
      <c r="X391" s="16"/>
      <c r="Y391" s="16"/>
      <c r="Z391" s="16"/>
      <c r="AA391" s="16"/>
      <c r="AB391" s="22"/>
    </row>
    <row r="392" spans="1:28" x14ac:dyDescent="0.3">
      <c r="A392" s="22"/>
      <c r="B392" s="22"/>
      <c r="C392" s="22"/>
      <c r="D392" s="22"/>
      <c r="E392" s="22"/>
      <c r="F392" s="22"/>
      <c r="G392" s="22"/>
      <c r="H392" s="22"/>
      <c r="I392" s="24" t="str">
        <f t="shared" si="12"/>
        <v/>
      </c>
      <c r="J392" s="25" t="str">
        <f t="shared" si="13"/>
        <v/>
      </c>
      <c r="K392" s="22"/>
      <c r="L392" s="22"/>
      <c r="M392" s="25" t="str">
        <f>IF(AND(L392&gt;=ref!$L$2,L392&lt;=ref!$M$2),ref!$K$2,IF(AND(L392&gt;=ref!$L$3,L392&lt;=ref!$M$3),ref!$K$3,IF(AND(L392&gt;=ref!$L$4,L392&lt;=ref!$M$4),ref!$K$4,IF(AND(L392&gt;=ref!$L$5,L392&lt;=ref!$M$5),ref!$K$5,IF(AND(L392&gt;=ref!$L$6,L392&lt;=ref!$M$6),ref!$K$6,IF(AND(L392&gt;=ref!$L$7,L392&lt;=ref!$M$7),ref!$K$7,IF(AND(L392&gt;=ref!$L$8,L392&lt;=ref!$M$8),ref!$K$8,IF(AND(L392&gt;=ref!$L$9,L392&lt;=ref!$M$9),ref!$K$9,IF(AND(L392&gt;=ref!$L$11,L392&lt;=ref!$M$11),ref!$K$11,IF(AND(L392&gt;=ref!$L$12,L392&lt;=ref!$M$12),ref!$K$12,""))))))))))</f>
        <v/>
      </c>
      <c r="N392" s="22"/>
      <c r="O392" s="16"/>
      <c r="P392" s="22"/>
      <c r="Q392" s="27"/>
      <c r="R392" s="22"/>
      <c r="S392" s="22"/>
      <c r="T392" s="16"/>
      <c r="U392" s="16"/>
      <c r="V392" s="16"/>
      <c r="W392" s="16"/>
      <c r="X392" s="16"/>
      <c r="Y392" s="16"/>
      <c r="Z392" s="16"/>
      <c r="AA392" s="16"/>
      <c r="AB392" s="22"/>
    </row>
    <row r="393" spans="1:28" x14ac:dyDescent="0.3">
      <c r="A393" s="22"/>
      <c r="B393" s="22"/>
      <c r="C393" s="22"/>
      <c r="D393" s="22"/>
      <c r="E393" s="22"/>
      <c r="F393" s="22"/>
      <c r="G393" s="22"/>
      <c r="H393" s="22"/>
      <c r="I393" s="24" t="str">
        <f t="shared" si="12"/>
        <v/>
      </c>
      <c r="J393" s="25" t="str">
        <f t="shared" si="13"/>
        <v/>
      </c>
      <c r="K393" s="22"/>
      <c r="L393" s="22"/>
      <c r="M393" s="25" t="str">
        <f>IF(AND(L393&gt;=ref!$L$2,L393&lt;=ref!$M$2),ref!$K$2,IF(AND(L393&gt;=ref!$L$3,L393&lt;=ref!$M$3),ref!$K$3,IF(AND(L393&gt;=ref!$L$4,L393&lt;=ref!$M$4),ref!$K$4,IF(AND(L393&gt;=ref!$L$5,L393&lt;=ref!$M$5),ref!$K$5,IF(AND(L393&gt;=ref!$L$6,L393&lt;=ref!$M$6),ref!$K$6,IF(AND(L393&gt;=ref!$L$7,L393&lt;=ref!$M$7),ref!$K$7,IF(AND(L393&gt;=ref!$L$8,L393&lt;=ref!$M$8),ref!$K$8,IF(AND(L393&gt;=ref!$L$9,L393&lt;=ref!$M$9),ref!$K$9,IF(AND(L393&gt;=ref!$L$11,L393&lt;=ref!$M$11),ref!$K$11,IF(AND(L393&gt;=ref!$L$12,L393&lt;=ref!$M$12),ref!$K$12,""))))))))))</f>
        <v/>
      </c>
      <c r="N393" s="22"/>
      <c r="O393" s="16"/>
      <c r="P393" s="22"/>
      <c r="Q393" s="27"/>
      <c r="R393" s="22"/>
      <c r="S393" s="22"/>
      <c r="T393" s="16"/>
      <c r="U393" s="16"/>
      <c r="V393" s="16"/>
      <c r="W393" s="16"/>
      <c r="X393" s="16"/>
      <c r="Y393" s="16"/>
      <c r="Z393" s="16"/>
      <c r="AA393" s="16"/>
      <c r="AB393" s="22"/>
    </row>
    <row r="394" spans="1:28" x14ac:dyDescent="0.3">
      <c r="A394" s="22"/>
      <c r="B394" s="22"/>
      <c r="C394" s="22"/>
      <c r="D394" s="22"/>
      <c r="E394" s="22"/>
      <c r="F394" s="22"/>
      <c r="G394" s="22"/>
      <c r="H394" s="22"/>
      <c r="I394" s="24" t="str">
        <f t="shared" si="12"/>
        <v/>
      </c>
      <c r="J394" s="25" t="str">
        <f t="shared" si="13"/>
        <v/>
      </c>
      <c r="K394" s="22"/>
      <c r="L394" s="22"/>
      <c r="M394" s="25" t="str">
        <f>IF(AND(L394&gt;=ref!$L$2,L394&lt;=ref!$M$2),ref!$K$2,IF(AND(L394&gt;=ref!$L$3,L394&lt;=ref!$M$3),ref!$K$3,IF(AND(L394&gt;=ref!$L$4,L394&lt;=ref!$M$4),ref!$K$4,IF(AND(L394&gt;=ref!$L$5,L394&lt;=ref!$M$5),ref!$K$5,IF(AND(L394&gt;=ref!$L$6,L394&lt;=ref!$M$6),ref!$K$6,IF(AND(L394&gt;=ref!$L$7,L394&lt;=ref!$M$7),ref!$K$7,IF(AND(L394&gt;=ref!$L$8,L394&lt;=ref!$M$8),ref!$K$8,IF(AND(L394&gt;=ref!$L$9,L394&lt;=ref!$M$9),ref!$K$9,IF(AND(L394&gt;=ref!$L$11,L394&lt;=ref!$M$11),ref!$K$11,IF(AND(L394&gt;=ref!$L$12,L394&lt;=ref!$M$12),ref!$K$12,""))))))))))</f>
        <v/>
      </c>
      <c r="N394" s="22"/>
      <c r="O394" s="16"/>
      <c r="P394" s="22"/>
      <c r="Q394" s="27"/>
      <c r="R394" s="22"/>
      <c r="S394" s="22"/>
      <c r="T394" s="16"/>
      <c r="U394" s="16"/>
      <c r="V394" s="16"/>
      <c r="W394" s="16"/>
      <c r="X394" s="16"/>
      <c r="Y394" s="16"/>
      <c r="Z394" s="16"/>
      <c r="AA394" s="16"/>
      <c r="AB394" s="22"/>
    </row>
    <row r="395" spans="1:28" x14ac:dyDescent="0.3">
      <c r="A395" s="22"/>
      <c r="B395" s="22"/>
      <c r="C395" s="22"/>
      <c r="D395" s="22"/>
      <c r="E395" s="22"/>
      <c r="F395" s="22"/>
      <c r="G395" s="22"/>
      <c r="H395" s="22"/>
      <c r="I395" s="24" t="str">
        <f t="shared" si="12"/>
        <v/>
      </c>
      <c r="J395" s="25" t="str">
        <f t="shared" si="13"/>
        <v/>
      </c>
      <c r="K395" s="22"/>
      <c r="L395" s="22"/>
      <c r="M395" s="25" t="str">
        <f>IF(AND(L395&gt;=ref!$L$2,L395&lt;=ref!$M$2),ref!$K$2,IF(AND(L395&gt;=ref!$L$3,L395&lt;=ref!$M$3),ref!$K$3,IF(AND(L395&gt;=ref!$L$4,L395&lt;=ref!$M$4),ref!$K$4,IF(AND(L395&gt;=ref!$L$5,L395&lt;=ref!$M$5),ref!$K$5,IF(AND(L395&gt;=ref!$L$6,L395&lt;=ref!$M$6),ref!$K$6,IF(AND(L395&gt;=ref!$L$7,L395&lt;=ref!$M$7),ref!$K$7,IF(AND(L395&gt;=ref!$L$8,L395&lt;=ref!$M$8),ref!$K$8,IF(AND(L395&gt;=ref!$L$9,L395&lt;=ref!$M$9),ref!$K$9,IF(AND(L395&gt;=ref!$L$11,L395&lt;=ref!$M$11),ref!$K$11,IF(AND(L395&gt;=ref!$L$12,L395&lt;=ref!$M$12),ref!$K$12,""))))))))))</f>
        <v/>
      </c>
      <c r="N395" s="22"/>
      <c r="O395" s="16"/>
      <c r="P395" s="22"/>
      <c r="Q395" s="27"/>
      <c r="R395" s="22"/>
      <c r="S395" s="22"/>
      <c r="T395" s="16"/>
      <c r="U395" s="16"/>
      <c r="V395" s="16"/>
      <c r="W395" s="16"/>
      <c r="X395" s="16"/>
      <c r="Y395" s="16"/>
      <c r="Z395" s="16"/>
      <c r="AA395" s="16"/>
      <c r="AB395" s="22"/>
    </row>
    <row r="396" spans="1:28" x14ac:dyDescent="0.3">
      <c r="A396" s="22"/>
      <c r="B396" s="22"/>
      <c r="C396" s="22"/>
      <c r="D396" s="22"/>
      <c r="E396" s="22"/>
      <c r="F396" s="22"/>
      <c r="G396" s="22"/>
      <c r="H396" s="22"/>
      <c r="I396" s="24" t="str">
        <f t="shared" si="12"/>
        <v/>
      </c>
      <c r="J396" s="25" t="str">
        <f t="shared" si="13"/>
        <v/>
      </c>
      <c r="K396" s="22"/>
      <c r="L396" s="22"/>
      <c r="M396" s="25" t="str">
        <f>IF(AND(L396&gt;=ref!$L$2,L396&lt;=ref!$M$2),ref!$K$2,IF(AND(L396&gt;=ref!$L$3,L396&lt;=ref!$M$3),ref!$K$3,IF(AND(L396&gt;=ref!$L$4,L396&lt;=ref!$M$4),ref!$K$4,IF(AND(L396&gt;=ref!$L$5,L396&lt;=ref!$M$5),ref!$K$5,IF(AND(L396&gt;=ref!$L$6,L396&lt;=ref!$M$6),ref!$K$6,IF(AND(L396&gt;=ref!$L$7,L396&lt;=ref!$M$7),ref!$K$7,IF(AND(L396&gt;=ref!$L$8,L396&lt;=ref!$M$8),ref!$K$8,IF(AND(L396&gt;=ref!$L$9,L396&lt;=ref!$M$9),ref!$K$9,IF(AND(L396&gt;=ref!$L$11,L396&lt;=ref!$M$11),ref!$K$11,IF(AND(L396&gt;=ref!$L$12,L396&lt;=ref!$M$12),ref!$K$12,""))))))))))</f>
        <v/>
      </c>
      <c r="N396" s="22"/>
      <c r="O396" s="16"/>
      <c r="P396" s="22"/>
      <c r="Q396" s="27"/>
      <c r="R396" s="22"/>
      <c r="S396" s="22"/>
      <c r="T396" s="16"/>
      <c r="U396" s="16"/>
      <c r="V396" s="16"/>
      <c r="W396" s="16"/>
      <c r="X396" s="16"/>
      <c r="Y396" s="16"/>
      <c r="Z396" s="16"/>
      <c r="AA396" s="16"/>
      <c r="AB396" s="22"/>
    </row>
    <row r="397" spans="1:28" x14ac:dyDescent="0.3">
      <c r="A397" s="22"/>
      <c r="B397" s="22"/>
      <c r="C397" s="22"/>
      <c r="D397" s="22"/>
      <c r="E397" s="22"/>
      <c r="F397" s="22"/>
      <c r="G397" s="22"/>
      <c r="H397" s="22"/>
      <c r="I397" s="24" t="str">
        <f t="shared" si="12"/>
        <v/>
      </c>
      <c r="J397" s="25" t="str">
        <f t="shared" si="13"/>
        <v/>
      </c>
      <c r="K397" s="22"/>
      <c r="L397" s="22"/>
      <c r="M397" s="25" t="str">
        <f>IF(AND(L397&gt;=ref!$L$2,L397&lt;=ref!$M$2),ref!$K$2,IF(AND(L397&gt;=ref!$L$3,L397&lt;=ref!$M$3),ref!$K$3,IF(AND(L397&gt;=ref!$L$4,L397&lt;=ref!$M$4),ref!$K$4,IF(AND(L397&gt;=ref!$L$5,L397&lt;=ref!$M$5),ref!$K$5,IF(AND(L397&gt;=ref!$L$6,L397&lt;=ref!$M$6),ref!$K$6,IF(AND(L397&gt;=ref!$L$7,L397&lt;=ref!$M$7),ref!$K$7,IF(AND(L397&gt;=ref!$L$8,L397&lt;=ref!$M$8),ref!$K$8,IF(AND(L397&gt;=ref!$L$9,L397&lt;=ref!$M$9),ref!$K$9,IF(AND(L397&gt;=ref!$L$11,L397&lt;=ref!$M$11),ref!$K$11,IF(AND(L397&gt;=ref!$L$12,L397&lt;=ref!$M$12),ref!$K$12,""))))))))))</f>
        <v/>
      </c>
      <c r="N397" s="22"/>
      <c r="O397" s="16"/>
      <c r="P397" s="22"/>
      <c r="Q397" s="27"/>
      <c r="R397" s="22"/>
      <c r="S397" s="22"/>
      <c r="T397" s="16"/>
      <c r="U397" s="16"/>
      <c r="V397" s="16"/>
      <c r="W397" s="16"/>
      <c r="X397" s="16"/>
      <c r="Y397" s="16"/>
      <c r="Z397" s="16"/>
      <c r="AA397" s="16"/>
      <c r="AB397" s="22"/>
    </row>
    <row r="398" spans="1:28" x14ac:dyDescent="0.3">
      <c r="A398" s="22"/>
      <c r="B398" s="22"/>
      <c r="C398" s="22"/>
      <c r="D398" s="22"/>
      <c r="E398" s="22"/>
      <c r="F398" s="22"/>
      <c r="G398" s="22"/>
      <c r="H398" s="22"/>
      <c r="I398" s="24" t="str">
        <f t="shared" si="12"/>
        <v/>
      </c>
      <c r="J398" s="25" t="str">
        <f t="shared" si="13"/>
        <v/>
      </c>
      <c r="K398" s="22"/>
      <c r="L398" s="22"/>
      <c r="M398" s="25" t="str">
        <f>IF(AND(L398&gt;=ref!$L$2,L398&lt;=ref!$M$2),ref!$K$2,IF(AND(L398&gt;=ref!$L$3,L398&lt;=ref!$M$3),ref!$K$3,IF(AND(L398&gt;=ref!$L$4,L398&lt;=ref!$M$4),ref!$K$4,IF(AND(L398&gt;=ref!$L$5,L398&lt;=ref!$M$5),ref!$K$5,IF(AND(L398&gt;=ref!$L$6,L398&lt;=ref!$M$6),ref!$K$6,IF(AND(L398&gt;=ref!$L$7,L398&lt;=ref!$M$7),ref!$K$7,IF(AND(L398&gt;=ref!$L$8,L398&lt;=ref!$M$8),ref!$K$8,IF(AND(L398&gt;=ref!$L$9,L398&lt;=ref!$M$9),ref!$K$9,IF(AND(L398&gt;=ref!$L$11,L398&lt;=ref!$M$11),ref!$K$11,IF(AND(L398&gt;=ref!$L$12,L398&lt;=ref!$M$12),ref!$K$12,""))))))))))</f>
        <v/>
      </c>
      <c r="N398" s="22"/>
      <c r="O398" s="16"/>
      <c r="P398" s="22"/>
      <c r="Q398" s="27"/>
      <c r="R398" s="22"/>
      <c r="S398" s="22"/>
      <c r="T398" s="16"/>
      <c r="U398" s="16"/>
      <c r="V398" s="16"/>
      <c r="W398" s="16"/>
      <c r="X398" s="16"/>
      <c r="Y398" s="16"/>
      <c r="Z398" s="16"/>
      <c r="AA398" s="16"/>
      <c r="AB398" s="22"/>
    </row>
    <row r="399" spans="1:28" x14ac:dyDescent="0.3">
      <c r="A399" s="22"/>
      <c r="B399" s="22"/>
      <c r="C399" s="22"/>
      <c r="D399" s="22"/>
      <c r="E399" s="22"/>
      <c r="F399" s="22"/>
      <c r="G399" s="22"/>
      <c r="H399" s="22"/>
      <c r="I399" s="24" t="str">
        <f t="shared" si="12"/>
        <v/>
      </c>
      <c r="J399" s="25" t="str">
        <f t="shared" si="13"/>
        <v/>
      </c>
      <c r="K399" s="22"/>
      <c r="L399" s="22"/>
      <c r="M399" s="25" t="str">
        <f>IF(AND(L399&gt;=ref!$L$2,L399&lt;=ref!$M$2),ref!$K$2,IF(AND(L399&gt;=ref!$L$3,L399&lt;=ref!$M$3),ref!$K$3,IF(AND(L399&gt;=ref!$L$4,L399&lt;=ref!$M$4),ref!$K$4,IF(AND(L399&gt;=ref!$L$5,L399&lt;=ref!$M$5),ref!$K$5,IF(AND(L399&gt;=ref!$L$6,L399&lt;=ref!$M$6),ref!$K$6,IF(AND(L399&gt;=ref!$L$7,L399&lt;=ref!$M$7),ref!$K$7,IF(AND(L399&gt;=ref!$L$8,L399&lt;=ref!$M$8),ref!$K$8,IF(AND(L399&gt;=ref!$L$9,L399&lt;=ref!$M$9),ref!$K$9,IF(AND(L399&gt;=ref!$L$11,L399&lt;=ref!$M$11),ref!$K$11,IF(AND(L399&gt;=ref!$L$12,L399&lt;=ref!$M$12),ref!$K$12,""))))))))))</f>
        <v/>
      </c>
      <c r="N399" s="22"/>
      <c r="O399" s="16"/>
      <c r="P399" s="22"/>
      <c r="Q399" s="27"/>
      <c r="R399" s="22"/>
      <c r="S399" s="22"/>
      <c r="T399" s="16"/>
      <c r="U399" s="16"/>
      <c r="V399" s="16"/>
      <c r="W399" s="16"/>
      <c r="X399" s="16"/>
      <c r="Y399" s="16"/>
      <c r="Z399" s="16"/>
      <c r="AA399" s="16"/>
      <c r="AB399" s="22"/>
    </row>
    <row r="400" spans="1:28" x14ac:dyDescent="0.3">
      <c r="A400" s="22"/>
      <c r="B400" s="22"/>
      <c r="C400" s="22"/>
      <c r="D400" s="22"/>
      <c r="E400" s="22"/>
      <c r="F400" s="22"/>
      <c r="G400" s="22"/>
      <c r="H400" s="22"/>
      <c r="I400" s="24" t="str">
        <f t="shared" si="12"/>
        <v/>
      </c>
      <c r="J400" s="25" t="str">
        <f t="shared" si="13"/>
        <v/>
      </c>
      <c r="K400" s="22"/>
      <c r="L400" s="22"/>
      <c r="M400" s="25" t="str">
        <f>IF(AND(L400&gt;=ref!$L$2,L400&lt;=ref!$M$2),ref!$K$2,IF(AND(L400&gt;=ref!$L$3,L400&lt;=ref!$M$3),ref!$K$3,IF(AND(L400&gt;=ref!$L$4,L400&lt;=ref!$M$4),ref!$K$4,IF(AND(L400&gt;=ref!$L$5,L400&lt;=ref!$M$5),ref!$K$5,IF(AND(L400&gt;=ref!$L$6,L400&lt;=ref!$M$6),ref!$K$6,IF(AND(L400&gt;=ref!$L$7,L400&lt;=ref!$M$7),ref!$K$7,IF(AND(L400&gt;=ref!$L$8,L400&lt;=ref!$M$8),ref!$K$8,IF(AND(L400&gt;=ref!$L$9,L400&lt;=ref!$M$9),ref!$K$9,IF(AND(L400&gt;=ref!$L$11,L400&lt;=ref!$M$11),ref!$K$11,IF(AND(L400&gt;=ref!$L$12,L400&lt;=ref!$M$12),ref!$K$12,""))))))))))</f>
        <v/>
      </c>
      <c r="N400" s="22"/>
      <c r="O400" s="16"/>
      <c r="P400" s="22"/>
      <c r="Q400" s="27"/>
      <c r="R400" s="22"/>
      <c r="S400" s="22"/>
      <c r="T400" s="16"/>
      <c r="U400" s="16"/>
      <c r="V400" s="16"/>
      <c r="W400" s="16"/>
      <c r="X400" s="16"/>
      <c r="Y400" s="16"/>
      <c r="Z400" s="16"/>
      <c r="AA400" s="16"/>
      <c r="AB400" s="22"/>
    </row>
    <row r="401" spans="1:28" x14ac:dyDescent="0.3">
      <c r="A401" s="22"/>
      <c r="B401" s="22"/>
      <c r="C401" s="22"/>
      <c r="D401" s="22"/>
      <c r="E401" s="22"/>
      <c r="F401" s="22"/>
      <c r="G401" s="22"/>
      <c r="H401" s="22"/>
      <c r="I401" s="24" t="str">
        <f t="shared" si="12"/>
        <v/>
      </c>
      <c r="J401" s="25" t="str">
        <f t="shared" si="13"/>
        <v/>
      </c>
      <c r="K401" s="22"/>
      <c r="L401" s="22"/>
      <c r="M401" s="25" t="str">
        <f>IF(AND(L401&gt;=ref!$L$2,L401&lt;=ref!$M$2),ref!$K$2,IF(AND(L401&gt;=ref!$L$3,L401&lt;=ref!$M$3),ref!$K$3,IF(AND(L401&gt;=ref!$L$4,L401&lt;=ref!$M$4),ref!$K$4,IF(AND(L401&gt;=ref!$L$5,L401&lt;=ref!$M$5),ref!$K$5,IF(AND(L401&gt;=ref!$L$6,L401&lt;=ref!$M$6),ref!$K$6,IF(AND(L401&gt;=ref!$L$7,L401&lt;=ref!$M$7),ref!$K$7,IF(AND(L401&gt;=ref!$L$8,L401&lt;=ref!$M$8),ref!$K$8,IF(AND(L401&gt;=ref!$L$9,L401&lt;=ref!$M$9),ref!$K$9,IF(AND(L401&gt;=ref!$L$11,L401&lt;=ref!$M$11),ref!$K$11,IF(AND(L401&gt;=ref!$L$12,L401&lt;=ref!$M$12),ref!$K$12,""))))))))))</f>
        <v/>
      </c>
      <c r="N401" s="22"/>
      <c r="O401" s="16"/>
      <c r="P401" s="22"/>
      <c r="Q401" s="27"/>
      <c r="R401" s="22"/>
      <c r="S401" s="22"/>
      <c r="T401" s="16"/>
      <c r="U401" s="16"/>
      <c r="V401" s="16"/>
      <c r="W401" s="16"/>
      <c r="X401" s="16"/>
      <c r="Y401" s="16"/>
      <c r="Z401" s="16"/>
      <c r="AA401" s="16"/>
      <c r="AB401" s="22"/>
    </row>
    <row r="402" spans="1:28" x14ac:dyDescent="0.3">
      <c r="A402" s="22"/>
      <c r="B402" s="22"/>
      <c r="C402" s="22"/>
      <c r="D402" s="22"/>
      <c r="E402" s="22"/>
      <c r="F402" s="22"/>
      <c r="G402" s="22"/>
      <c r="H402" s="22"/>
      <c r="I402" s="24" t="str">
        <f t="shared" si="12"/>
        <v/>
      </c>
      <c r="J402" s="25" t="str">
        <f t="shared" si="13"/>
        <v/>
      </c>
      <c r="K402" s="22"/>
      <c r="L402" s="22"/>
      <c r="M402" s="25" t="str">
        <f>IF(AND(L402&gt;=ref!$L$2,L402&lt;=ref!$M$2),ref!$K$2,IF(AND(L402&gt;=ref!$L$3,L402&lt;=ref!$M$3),ref!$K$3,IF(AND(L402&gt;=ref!$L$4,L402&lt;=ref!$M$4),ref!$K$4,IF(AND(L402&gt;=ref!$L$5,L402&lt;=ref!$M$5),ref!$K$5,IF(AND(L402&gt;=ref!$L$6,L402&lt;=ref!$M$6),ref!$K$6,IF(AND(L402&gt;=ref!$L$7,L402&lt;=ref!$M$7),ref!$K$7,IF(AND(L402&gt;=ref!$L$8,L402&lt;=ref!$M$8),ref!$K$8,IF(AND(L402&gt;=ref!$L$9,L402&lt;=ref!$M$9),ref!$K$9,IF(AND(L402&gt;=ref!$L$11,L402&lt;=ref!$M$11),ref!$K$11,IF(AND(L402&gt;=ref!$L$12,L402&lt;=ref!$M$12),ref!$K$12,""))))))))))</f>
        <v/>
      </c>
      <c r="N402" s="22"/>
      <c r="O402" s="16"/>
      <c r="P402" s="22"/>
      <c r="Q402" s="27"/>
      <c r="R402" s="22"/>
      <c r="S402" s="22"/>
      <c r="T402" s="16"/>
      <c r="U402" s="16"/>
      <c r="V402" s="16"/>
      <c r="W402" s="16"/>
      <c r="X402" s="16"/>
      <c r="Y402" s="16"/>
      <c r="Z402" s="16"/>
      <c r="AA402" s="16"/>
      <c r="AB402" s="22"/>
    </row>
    <row r="403" spans="1:28" x14ac:dyDescent="0.3">
      <c r="A403" s="22"/>
      <c r="B403" s="22"/>
      <c r="C403" s="22"/>
      <c r="D403" s="22"/>
      <c r="E403" s="22"/>
      <c r="F403" s="22"/>
      <c r="G403" s="22"/>
      <c r="H403" s="22"/>
      <c r="I403" s="24" t="str">
        <f t="shared" si="12"/>
        <v/>
      </c>
      <c r="J403" s="25" t="str">
        <f t="shared" si="13"/>
        <v/>
      </c>
      <c r="K403" s="22"/>
      <c r="L403" s="22"/>
      <c r="M403" s="25" t="str">
        <f>IF(AND(L403&gt;=ref!$L$2,L403&lt;=ref!$M$2),ref!$K$2,IF(AND(L403&gt;=ref!$L$3,L403&lt;=ref!$M$3),ref!$K$3,IF(AND(L403&gt;=ref!$L$4,L403&lt;=ref!$M$4),ref!$K$4,IF(AND(L403&gt;=ref!$L$5,L403&lt;=ref!$M$5),ref!$K$5,IF(AND(L403&gt;=ref!$L$6,L403&lt;=ref!$M$6),ref!$K$6,IF(AND(L403&gt;=ref!$L$7,L403&lt;=ref!$M$7),ref!$K$7,IF(AND(L403&gt;=ref!$L$8,L403&lt;=ref!$M$8),ref!$K$8,IF(AND(L403&gt;=ref!$L$9,L403&lt;=ref!$M$9),ref!$K$9,IF(AND(L403&gt;=ref!$L$11,L403&lt;=ref!$M$11),ref!$K$11,IF(AND(L403&gt;=ref!$L$12,L403&lt;=ref!$M$12),ref!$K$12,""))))))))))</f>
        <v/>
      </c>
      <c r="N403" s="22"/>
      <c r="O403" s="16"/>
      <c r="P403" s="22"/>
      <c r="Q403" s="27"/>
      <c r="R403" s="22"/>
      <c r="S403" s="22"/>
      <c r="T403" s="16"/>
      <c r="U403" s="16"/>
      <c r="V403" s="16"/>
      <c r="W403" s="16"/>
      <c r="X403" s="16"/>
      <c r="Y403" s="16"/>
      <c r="Z403" s="16"/>
      <c r="AA403" s="16"/>
      <c r="AB403" s="22"/>
    </row>
    <row r="404" spans="1:28" x14ac:dyDescent="0.3">
      <c r="A404" s="22"/>
      <c r="B404" s="22"/>
      <c r="C404" s="22"/>
      <c r="D404" s="22"/>
      <c r="E404" s="22"/>
      <c r="F404" s="22"/>
      <c r="G404" s="22"/>
      <c r="H404" s="22"/>
      <c r="I404" s="24" t="str">
        <f t="shared" si="12"/>
        <v/>
      </c>
      <c r="J404" s="25" t="str">
        <f t="shared" si="13"/>
        <v/>
      </c>
      <c r="K404" s="22"/>
      <c r="L404" s="22"/>
      <c r="M404" s="25" t="str">
        <f>IF(AND(L404&gt;=ref!$L$2,L404&lt;=ref!$M$2),ref!$K$2,IF(AND(L404&gt;=ref!$L$3,L404&lt;=ref!$M$3),ref!$K$3,IF(AND(L404&gt;=ref!$L$4,L404&lt;=ref!$M$4),ref!$K$4,IF(AND(L404&gt;=ref!$L$5,L404&lt;=ref!$M$5),ref!$K$5,IF(AND(L404&gt;=ref!$L$6,L404&lt;=ref!$M$6),ref!$K$6,IF(AND(L404&gt;=ref!$L$7,L404&lt;=ref!$M$7),ref!$K$7,IF(AND(L404&gt;=ref!$L$8,L404&lt;=ref!$M$8),ref!$K$8,IF(AND(L404&gt;=ref!$L$9,L404&lt;=ref!$M$9),ref!$K$9,IF(AND(L404&gt;=ref!$L$11,L404&lt;=ref!$M$11),ref!$K$11,IF(AND(L404&gt;=ref!$L$12,L404&lt;=ref!$M$12),ref!$K$12,""))))))))))</f>
        <v/>
      </c>
      <c r="N404" s="22"/>
      <c r="O404" s="16"/>
      <c r="P404" s="22"/>
      <c r="Q404" s="27"/>
      <c r="R404" s="22"/>
      <c r="S404" s="22"/>
      <c r="T404" s="16"/>
      <c r="U404" s="16"/>
      <c r="V404" s="16"/>
      <c r="W404" s="16"/>
      <c r="X404" s="16"/>
      <c r="Y404" s="16"/>
      <c r="Z404" s="16"/>
      <c r="AA404" s="16"/>
      <c r="AB404" s="22"/>
    </row>
    <row r="405" spans="1:28" x14ac:dyDescent="0.3">
      <c r="A405" s="22"/>
      <c r="B405" s="22"/>
      <c r="C405" s="22"/>
      <c r="D405" s="22"/>
      <c r="E405" s="22"/>
      <c r="F405" s="22"/>
      <c r="G405" s="22"/>
      <c r="H405" s="22"/>
      <c r="I405" s="24" t="str">
        <f t="shared" si="12"/>
        <v/>
      </c>
      <c r="J405" s="25" t="str">
        <f t="shared" si="13"/>
        <v/>
      </c>
      <c r="K405" s="22"/>
      <c r="L405" s="22"/>
      <c r="M405" s="25" t="str">
        <f>IF(AND(L405&gt;=ref!$L$2,L405&lt;=ref!$M$2),ref!$K$2,IF(AND(L405&gt;=ref!$L$3,L405&lt;=ref!$M$3),ref!$K$3,IF(AND(L405&gt;=ref!$L$4,L405&lt;=ref!$M$4),ref!$K$4,IF(AND(L405&gt;=ref!$L$5,L405&lt;=ref!$M$5),ref!$K$5,IF(AND(L405&gt;=ref!$L$6,L405&lt;=ref!$M$6),ref!$K$6,IF(AND(L405&gt;=ref!$L$7,L405&lt;=ref!$M$7),ref!$K$7,IF(AND(L405&gt;=ref!$L$8,L405&lt;=ref!$M$8),ref!$K$8,IF(AND(L405&gt;=ref!$L$9,L405&lt;=ref!$M$9),ref!$K$9,IF(AND(L405&gt;=ref!$L$11,L405&lt;=ref!$M$11),ref!$K$11,IF(AND(L405&gt;=ref!$L$12,L405&lt;=ref!$M$12),ref!$K$12,""))))))))))</f>
        <v/>
      </c>
      <c r="N405" s="22"/>
      <c r="O405" s="16"/>
      <c r="P405" s="22"/>
      <c r="Q405" s="27"/>
      <c r="R405" s="22"/>
      <c r="S405" s="22"/>
      <c r="T405" s="16"/>
      <c r="U405" s="16"/>
      <c r="V405" s="16"/>
      <c r="W405" s="16"/>
      <c r="X405" s="16"/>
      <c r="Y405" s="16"/>
      <c r="Z405" s="16"/>
      <c r="AA405" s="16"/>
      <c r="AB405" s="22"/>
    </row>
    <row r="406" spans="1:28" x14ac:dyDescent="0.3">
      <c r="A406" s="22"/>
      <c r="B406" s="22"/>
      <c r="C406" s="22"/>
      <c r="D406" s="22"/>
      <c r="E406" s="22"/>
      <c r="F406" s="22"/>
      <c r="G406" s="22"/>
      <c r="H406" s="22"/>
      <c r="I406" s="24" t="str">
        <f t="shared" si="12"/>
        <v/>
      </c>
      <c r="J406" s="25" t="str">
        <f t="shared" si="13"/>
        <v/>
      </c>
      <c r="K406" s="22"/>
      <c r="L406" s="22"/>
      <c r="M406" s="25" t="str">
        <f>IF(AND(L406&gt;=ref!$L$2,L406&lt;=ref!$M$2),ref!$K$2,IF(AND(L406&gt;=ref!$L$3,L406&lt;=ref!$M$3),ref!$K$3,IF(AND(L406&gt;=ref!$L$4,L406&lt;=ref!$M$4),ref!$K$4,IF(AND(L406&gt;=ref!$L$5,L406&lt;=ref!$M$5),ref!$K$5,IF(AND(L406&gt;=ref!$L$6,L406&lt;=ref!$M$6),ref!$K$6,IF(AND(L406&gt;=ref!$L$7,L406&lt;=ref!$M$7),ref!$K$7,IF(AND(L406&gt;=ref!$L$8,L406&lt;=ref!$M$8),ref!$K$8,IF(AND(L406&gt;=ref!$L$9,L406&lt;=ref!$M$9),ref!$K$9,IF(AND(L406&gt;=ref!$L$11,L406&lt;=ref!$M$11),ref!$K$11,IF(AND(L406&gt;=ref!$L$12,L406&lt;=ref!$M$12),ref!$K$12,""))))))))))</f>
        <v/>
      </c>
      <c r="N406" s="22"/>
      <c r="O406" s="16"/>
      <c r="P406" s="22"/>
      <c r="Q406" s="27"/>
      <c r="R406" s="22"/>
      <c r="S406" s="22"/>
      <c r="T406" s="16"/>
      <c r="U406" s="16"/>
      <c r="V406" s="16"/>
      <c r="W406" s="16"/>
      <c r="X406" s="16"/>
      <c r="Y406" s="16"/>
      <c r="Z406" s="16"/>
      <c r="AA406" s="16"/>
      <c r="AB406" s="22"/>
    </row>
    <row r="407" spans="1:28" x14ac:dyDescent="0.3">
      <c r="A407" s="22"/>
      <c r="B407" s="22"/>
      <c r="C407" s="22"/>
      <c r="D407" s="22"/>
      <c r="E407" s="22"/>
      <c r="F407" s="22"/>
      <c r="G407" s="22"/>
      <c r="H407" s="22"/>
      <c r="I407" s="24" t="str">
        <f t="shared" si="12"/>
        <v/>
      </c>
      <c r="J407" s="25" t="str">
        <f t="shared" si="13"/>
        <v/>
      </c>
      <c r="K407" s="22"/>
      <c r="L407" s="22"/>
      <c r="M407" s="25" t="str">
        <f>IF(AND(L407&gt;=ref!$L$2,L407&lt;=ref!$M$2),ref!$K$2,IF(AND(L407&gt;=ref!$L$3,L407&lt;=ref!$M$3),ref!$K$3,IF(AND(L407&gt;=ref!$L$4,L407&lt;=ref!$M$4),ref!$K$4,IF(AND(L407&gt;=ref!$L$5,L407&lt;=ref!$M$5),ref!$K$5,IF(AND(L407&gt;=ref!$L$6,L407&lt;=ref!$M$6),ref!$K$6,IF(AND(L407&gt;=ref!$L$7,L407&lt;=ref!$M$7),ref!$K$7,IF(AND(L407&gt;=ref!$L$8,L407&lt;=ref!$M$8),ref!$K$8,IF(AND(L407&gt;=ref!$L$9,L407&lt;=ref!$M$9),ref!$K$9,IF(AND(L407&gt;=ref!$L$11,L407&lt;=ref!$M$11),ref!$K$11,IF(AND(L407&gt;=ref!$L$12,L407&lt;=ref!$M$12),ref!$K$12,""))))))))))</f>
        <v/>
      </c>
      <c r="N407" s="22"/>
      <c r="O407" s="16"/>
      <c r="P407" s="22"/>
      <c r="Q407" s="27"/>
      <c r="R407" s="22"/>
      <c r="S407" s="22"/>
      <c r="T407" s="16"/>
      <c r="U407" s="16"/>
      <c r="V407" s="16"/>
      <c r="W407" s="16"/>
      <c r="X407" s="16"/>
      <c r="Y407" s="16"/>
      <c r="Z407" s="16"/>
      <c r="AA407" s="16"/>
      <c r="AB407" s="22"/>
    </row>
    <row r="408" spans="1:28" x14ac:dyDescent="0.3">
      <c r="A408" s="22"/>
      <c r="B408" s="22"/>
      <c r="C408" s="22"/>
      <c r="D408" s="22"/>
      <c r="E408" s="22"/>
      <c r="F408" s="22"/>
      <c r="G408" s="22"/>
      <c r="H408" s="22"/>
      <c r="I408" s="24" t="str">
        <f t="shared" si="12"/>
        <v/>
      </c>
      <c r="J408" s="25" t="str">
        <f t="shared" si="13"/>
        <v/>
      </c>
      <c r="K408" s="22"/>
      <c r="L408" s="22"/>
      <c r="M408" s="25" t="str">
        <f>IF(AND(L408&gt;=ref!$L$2,L408&lt;=ref!$M$2),ref!$K$2,IF(AND(L408&gt;=ref!$L$3,L408&lt;=ref!$M$3),ref!$K$3,IF(AND(L408&gt;=ref!$L$4,L408&lt;=ref!$M$4),ref!$K$4,IF(AND(L408&gt;=ref!$L$5,L408&lt;=ref!$M$5),ref!$K$5,IF(AND(L408&gt;=ref!$L$6,L408&lt;=ref!$M$6),ref!$K$6,IF(AND(L408&gt;=ref!$L$7,L408&lt;=ref!$M$7),ref!$K$7,IF(AND(L408&gt;=ref!$L$8,L408&lt;=ref!$M$8),ref!$K$8,IF(AND(L408&gt;=ref!$L$9,L408&lt;=ref!$M$9),ref!$K$9,IF(AND(L408&gt;=ref!$L$11,L408&lt;=ref!$M$11),ref!$K$11,IF(AND(L408&gt;=ref!$L$12,L408&lt;=ref!$M$12),ref!$K$12,""))))))))))</f>
        <v/>
      </c>
      <c r="N408" s="22"/>
      <c r="O408" s="16"/>
      <c r="P408" s="22"/>
      <c r="Q408" s="27"/>
      <c r="R408" s="22"/>
      <c r="S408" s="22"/>
      <c r="T408" s="16"/>
      <c r="U408" s="16"/>
      <c r="V408" s="16"/>
      <c r="W408" s="16"/>
      <c r="X408" s="16"/>
      <c r="Y408" s="16"/>
      <c r="Z408" s="16"/>
      <c r="AA408" s="16"/>
      <c r="AB408" s="22"/>
    </row>
    <row r="409" spans="1:28" x14ac:dyDescent="0.3">
      <c r="A409" s="22"/>
      <c r="B409" s="22"/>
      <c r="C409" s="22"/>
      <c r="D409" s="22"/>
      <c r="E409" s="22"/>
      <c r="F409" s="22"/>
      <c r="G409" s="22"/>
      <c r="H409" s="22"/>
      <c r="I409" s="24" t="str">
        <f t="shared" si="12"/>
        <v/>
      </c>
      <c r="J409" s="25" t="str">
        <f t="shared" si="13"/>
        <v/>
      </c>
      <c r="K409" s="22"/>
      <c r="L409" s="22"/>
      <c r="M409" s="25" t="str">
        <f>IF(AND(L409&gt;=ref!$L$2,L409&lt;=ref!$M$2),ref!$K$2,IF(AND(L409&gt;=ref!$L$3,L409&lt;=ref!$M$3),ref!$K$3,IF(AND(L409&gt;=ref!$L$4,L409&lt;=ref!$M$4),ref!$K$4,IF(AND(L409&gt;=ref!$L$5,L409&lt;=ref!$M$5),ref!$K$5,IF(AND(L409&gt;=ref!$L$6,L409&lt;=ref!$M$6),ref!$K$6,IF(AND(L409&gt;=ref!$L$7,L409&lt;=ref!$M$7),ref!$K$7,IF(AND(L409&gt;=ref!$L$8,L409&lt;=ref!$M$8),ref!$K$8,IF(AND(L409&gt;=ref!$L$9,L409&lt;=ref!$M$9),ref!$K$9,IF(AND(L409&gt;=ref!$L$11,L409&lt;=ref!$M$11),ref!$K$11,IF(AND(L409&gt;=ref!$L$12,L409&lt;=ref!$M$12),ref!$K$12,""))))))))))</f>
        <v/>
      </c>
      <c r="N409" s="22"/>
      <c r="O409" s="16"/>
      <c r="P409" s="22"/>
      <c r="Q409" s="27"/>
      <c r="R409" s="22"/>
      <c r="S409" s="22"/>
      <c r="T409" s="16"/>
      <c r="U409" s="16"/>
      <c r="V409" s="16"/>
      <c r="W409" s="16"/>
      <c r="X409" s="16"/>
      <c r="Y409" s="16"/>
      <c r="Z409" s="16"/>
      <c r="AA409" s="16"/>
      <c r="AB409" s="22"/>
    </row>
    <row r="410" spans="1:28" x14ac:dyDescent="0.3">
      <c r="A410" s="22"/>
      <c r="B410" s="22"/>
      <c r="C410" s="22"/>
      <c r="D410" s="22"/>
      <c r="E410" s="22"/>
      <c r="F410" s="22"/>
      <c r="G410" s="22"/>
      <c r="H410" s="22"/>
      <c r="I410" s="24" t="str">
        <f t="shared" si="12"/>
        <v/>
      </c>
      <c r="J410" s="25" t="str">
        <f t="shared" si="13"/>
        <v/>
      </c>
      <c r="K410" s="22"/>
      <c r="L410" s="22"/>
      <c r="M410" s="25" t="str">
        <f>IF(AND(L410&gt;=ref!$L$2,L410&lt;=ref!$M$2),ref!$K$2,IF(AND(L410&gt;=ref!$L$3,L410&lt;=ref!$M$3),ref!$K$3,IF(AND(L410&gt;=ref!$L$4,L410&lt;=ref!$M$4),ref!$K$4,IF(AND(L410&gt;=ref!$L$5,L410&lt;=ref!$M$5),ref!$K$5,IF(AND(L410&gt;=ref!$L$6,L410&lt;=ref!$M$6),ref!$K$6,IF(AND(L410&gt;=ref!$L$7,L410&lt;=ref!$M$7),ref!$K$7,IF(AND(L410&gt;=ref!$L$8,L410&lt;=ref!$M$8),ref!$K$8,IF(AND(L410&gt;=ref!$L$9,L410&lt;=ref!$M$9),ref!$K$9,IF(AND(L410&gt;=ref!$L$11,L410&lt;=ref!$M$11),ref!$K$11,IF(AND(L410&gt;=ref!$L$12,L410&lt;=ref!$M$12),ref!$K$12,""))))))))))</f>
        <v/>
      </c>
      <c r="N410" s="22"/>
      <c r="O410" s="16"/>
      <c r="P410" s="22"/>
      <c r="Q410" s="27"/>
      <c r="R410" s="22"/>
      <c r="S410" s="22"/>
      <c r="T410" s="16"/>
      <c r="U410" s="16"/>
      <c r="V410" s="16"/>
      <c r="W410" s="16"/>
      <c r="X410" s="16"/>
      <c r="Y410" s="16"/>
      <c r="Z410" s="16"/>
      <c r="AA410" s="16"/>
      <c r="AB410" s="22"/>
    </row>
    <row r="411" spans="1:28" x14ac:dyDescent="0.3">
      <c r="A411" s="22"/>
      <c r="B411" s="22"/>
      <c r="C411" s="22"/>
      <c r="D411" s="22"/>
      <c r="E411" s="22"/>
      <c r="F411" s="22"/>
      <c r="G411" s="22"/>
      <c r="H411" s="22"/>
      <c r="I411" s="24" t="str">
        <f t="shared" si="12"/>
        <v/>
      </c>
      <c r="J411" s="25" t="str">
        <f t="shared" si="13"/>
        <v/>
      </c>
      <c r="K411" s="22"/>
      <c r="L411" s="22"/>
      <c r="M411" s="25" t="str">
        <f>IF(AND(L411&gt;=ref!$L$2,L411&lt;=ref!$M$2),ref!$K$2,IF(AND(L411&gt;=ref!$L$3,L411&lt;=ref!$M$3),ref!$K$3,IF(AND(L411&gt;=ref!$L$4,L411&lt;=ref!$M$4),ref!$K$4,IF(AND(L411&gt;=ref!$L$5,L411&lt;=ref!$M$5),ref!$K$5,IF(AND(L411&gt;=ref!$L$6,L411&lt;=ref!$M$6),ref!$K$6,IF(AND(L411&gt;=ref!$L$7,L411&lt;=ref!$M$7),ref!$K$7,IF(AND(L411&gt;=ref!$L$8,L411&lt;=ref!$M$8),ref!$K$8,IF(AND(L411&gt;=ref!$L$9,L411&lt;=ref!$M$9),ref!$K$9,IF(AND(L411&gt;=ref!$L$11,L411&lt;=ref!$M$11),ref!$K$11,IF(AND(L411&gt;=ref!$L$12,L411&lt;=ref!$M$12),ref!$K$12,""))))))))))</f>
        <v/>
      </c>
      <c r="N411" s="22"/>
      <c r="O411" s="16"/>
      <c r="P411" s="22"/>
      <c r="Q411" s="27"/>
      <c r="R411" s="22"/>
      <c r="S411" s="22"/>
      <c r="T411" s="16"/>
      <c r="U411" s="16"/>
      <c r="V411" s="16"/>
      <c r="W411" s="16"/>
      <c r="X411" s="16"/>
      <c r="Y411" s="16"/>
      <c r="Z411" s="16"/>
      <c r="AA411" s="16"/>
      <c r="AB411" s="22"/>
    </row>
    <row r="412" spans="1:28" x14ac:dyDescent="0.3">
      <c r="A412" s="22"/>
      <c r="B412" s="22"/>
      <c r="C412" s="22"/>
      <c r="D412" s="22"/>
      <c r="E412" s="22"/>
      <c r="F412" s="22"/>
      <c r="G412" s="22"/>
      <c r="H412" s="22"/>
      <c r="I412" s="24" t="str">
        <f t="shared" si="12"/>
        <v/>
      </c>
      <c r="J412" s="25" t="str">
        <f t="shared" si="13"/>
        <v/>
      </c>
      <c r="K412" s="22"/>
      <c r="L412" s="22"/>
      <c r="M412" s="25" t="str">
        <f>IF(AND(L412&gt;=ref!$L$2,L412&lt;=ref!$M$2),ref!$K$2,IF(AND(L412&gt;=ref!$L$3,L412&lt;=ref!$M$3),ref!$K$3,IF(AND(L412&gt;=ref!$L$4,L412&lt;=ref!$M$4),ref!$K$4,IF(AND(L412&gt;=ref!$L$5,L412&lt;=ref!$M$5),ref!$K$5,IF(AND(L412&gt;=ref!$L$6,L412&lt;=ref!$M$6),ref!$K$6,IF(AND(L412&gt;=ref!$L$7,L412&lt;=ref!$M$7),ref!$K$7,IF(AND(L412&gt;=ref!$L$8,L412&lt;=ref!$M$8),ref!$K$8,IF(AND(L412&gt;=ref!$L$9,L412&lt;=ref!$M$9),ref!$K$9,IF(AND(L412&gt;=ref!$L$11,L412&lt;=ref!$M$11),ref!$K$11,IF(AND(L412&gt;=ref!$L$12,L412&lt;=ref!$M$12),ref!$K$12,""))))))))))</f>
        <v/>
      </c>
      <c r="N412" s="22"/>
      <c r="O412" s="16"/>
      <c r="P412" s="22"/>
      <c r="Q412" s="27"/>
      <c r="R412" s="22"/>
      <c r="S412" s="22"/>
      <c r="T412" s="16"/>
      <c r="U412" s="16"/>
      <c r="V412" s="16"/>
      <c r="W412" s="16"/>
      <c r="X412" s="16"/>
      <c r="Y412" s="16"/>
      <c r="Z412" s="16"/>
      <c r="AA412" s="16"/>
      <c r="AB412" s="22"/>
    </row>
    <row r="413" spans="1:28" x14ac:dyDescent="0.3">
      <c r="A413" s="22"/>
      <c r="B413" s="22"/>
      <c r="C413" s="22"/>
      <c r="D413" s="22"/>
      <c r="E413" s="22"/>
      <c r="F413" s="22"/>
      <c r="G413" s="22"/>
      <c r="H413" s="22"/>
      <c r="I413" s="24" t="str">
        <f t="shared" si="12"/>
        <v/>
      </c>
      <c r="J413" s="25" t="str">
        <f t="shared" si="13"/>
        <v/>
      </c>
      <c r="K413" s="22"/>
      <c r="L413" s="22"/>
      <c r="M413" s="25" t="str">
        <f>IF(AND(L413&gt;=ref!$L$2,L413&lt;=ref!$M$2),ref!$K$2,IF(AND(L413&gt;=ref!$L$3,L413&lt;=ref!$M$3),ref!$K$3,IF(AND(L413&gt;=ref!$L$4,L413&lt;=ref!$M$4),ref!$K$4,IF(AND(L413&gt;=ref!$L$5,L413&lt;=ref!$M$5),ref!$K$5,IF(AND(L413&gt;=ref!$L$6,L413&lt;=ref!$M$6),ref!$K$6,IF(AND(L413&gt;=ref!$L$7,L413&lt;=ref!$M$7),ref!$K$7,IF(AND(L413&gt;=ref!$L$8,L413&lt;=ref!$M$8),ref!$K$8,IF(AND(L413&gt;=ref!$L$9,L413&lt;=ref!$M$9),ref!$K$9,IF(AND(L413&gt;=ref!$L$11,L413&lt;=ref!$M$11),ref!$K$11,IF(AND(L413&gt;=ref!$L$12,L413&lt;=ref!$M$12),ref!$K$12,""))))))))))</f>
        <v/>
      </c>
      <c r="N413" s="22"/>
      <c r="O413" s="16"/>
      <c r="P413" s="22"/>
      <c r="Q413" s="27"/>
      <c r="R413" s="22"/>
      <c r="S413" s="22"/>
      <c r="T413" s="16"/>
      <c r="U413" s="16"/>
      <c r="V413" s="16"/>
      <c r="W413" s="16"/>
      <c r="X413" s="16"/>
      <c r="Y413" s="16"/>
      <c r="Z413" s="16"/>
      <c r="AA413" s="16"/>
      <c r="AB413" s="22"/>
    </row>
    <row r="414" spans="1:28" x14ac:dyDescent="0.3">
      <c r="A414" s="22"/>
      <c r="B414" s="22"/>
      <c r="C414" s="22"/>
      <c r="D414" s="22"/>
      <c r="E414" s="22"/>
      <c r="F414" s="22"/>
      <c r="G414" s="22"/>
      <c r="H414" s="22"/>
      <c r="I414" s="24" t="str">
        <f t="shared" si="12"/>
        <v/>
      </c>
      <c r="J414" s="25" t="str">
        <f t="shared" si="13"/>
        <v/>
      </c>
      <c r="K414" s="22"/>
      <c r="L414" s="22"/>
      <c r="M414" s="25" t="str">
        <f>IF(AND(L414&gt;=ref!$L$2,L414&lt;=ref!$M$2),ref!$K$2,IF(AND(L414&gt;=ref!$L$3,L414&lt;=ref!$M$3),ref!$K$3,IF(AND(L414&gt;=ref!$L$4,L414&lt;=ref!$M$4),ref!$K$4,IF(AND(L414&gt;=ref!$L$5,L414&lt;=ref!$M$5),ref!$K$5,IF(AND(L414&gt;=ref!$L$6,L414&lt;=ref!$M$6),ref!$K$6,IF(AND(L414&gt;=ref!$L$7,L414&lt;=ref!$M$7),ref!$K$7,IF(AND(L414&gt;=ref!$L$8,L414&lt;=ref!$M$8),ref!$K$8,IF(AND(L414&gt;=ref!$L$9,L414&lt;=ref!$M$9),ref!$K$9,IF(AND(L414&gt;=ref!$L$11,L414&lt;=ref!$M$11),ref!$K$11,IF(AND(L414&gt;=ref!$L$12,L414&lt;=ref!$M$12),ref!$K$12,""))))))))))</f>
        <v/>
      </c>
      <c r="N414" s="22"/>
      <c r="O414" s="16"/>
      <c r="P414" s="22"/>
      <c r="Q414" s="27"/>
      <c r="R414" s="22"/>
      <c r="S414" s="22"/>
      <c r="T414" s="16"/>
      <c r="U414" s="16"/>
      <c r="V414" s="16"/>
      <c r="W414" s="16"/>
      <c r="X414" s="16"/>
      <c r="Y414" s="16"/>
      <c r="Z414" s="16"/>
      <c r="AA414" s="16"/>
      <c r="AB414" s="22"/>
    </row>
    <row r="415" spans="1:28" x14ac:dyDescent="0.3">
      <c r="A415" s="22"/>
      <c r="B415" s="22"/>
      <c r="C415" s="22"/>
      <c r="D415" s="22"/>
      <c r="E415" s="22"/>
      <c r="F415" s="22"/>
      <c r="G415" s="22"/>
      <c r="H415" s="22"/>
      <c r="I415" s="24" t="str">
        <f t="shared" si="12"/>
        <v/>
      </c>
      <c r="J415" s="25" t="str">
        <f t="shared" si="13"/>
        <v/>
      </c>
      <c r="K415" s="22"/>
      <c r="L415" s="22"/>
      <c r="M415" s="25" t="str">
        <f>IF(AND(L415&gt;=ref!$L$2,L415&lt;=ref!$M$2),ref!$K$2,IF(AND(L415&gt;=ref!$L$3,L415&lt;=ref!$M$3),ref!$K$3,IF(AND(L415&gt;=ref!$L$4,L415&lt;=ref!$M$4),ref!$K$4,IF(AND(L415&gt;=ref!$L$5,L415&lt;=ref!$M$5),ref!$K$5,IF(AND(L415&gt;=ref!$L$6,L415&lt;=ref!$M$6),ref!$K$6,IF(AND(L415&gt;=ref!$L$7,L415&lt;=ref!$M$7),ref!$K$7,IF(AND(L415&gt;=ref!$L$8,L415&lt;=ref!$M$8),ref!$K$8,IF(AND(L415&gt;=ref!$L$9,L415&lt;=ref!$M$9),ref!$K$9,IF(AND(L415&gt;=ref!$L$11,L415&lt;=ref!$M$11),ref!$K$11,IF(AND(L415&gt;=ref!$L$12,L415&lt;=ref!$M$12),ref!$K$12,""))))))))))</f>
        <v/>
      </c>
      <c r="N415" s="22"/>
      <c r="O415" s="16"/>
      <c r="P415" s="22"/>
      <c r="Q415" s="27"/>
      <c r="R415" s="22"/>
      <c r="S415" s="22"/>
      <c r="T415" s="16"/>
      <c r="U415" s="16"/>
      <c r="V415" s="16"/>
      <c r="W415" s="16"/>
      <c r="X415" s="16"/>
      <c r="Y415" s="16"/>
      <c r="Z415" s="16"/>
      <c r="AA415" s="16"/>
      <c r="AB415" s="22"/>
    </row>
    <row r="416" spans="1:28" x14ac:dyDescent="0.3">
      <c r="A416" s="22"/>
      <c r="B416" s="22"/>
      <c r="C416" s="22"/>
      <c r="D416" s="22"/>
      <c r="E416" s="22"/>
      <c r="F416" s="22"/>
      <c r="G416" s="22"/>
      <c r="H416" s="22"/>
      <c r="I416" s="24" t="str">
        <f t="shared" si="12"/>
        <v/>
      </c>
      <c r="J416" s="25" t="str">
        <f t="shared" si="13"/>
        <v/>
      </c>
      <c r="K416" s="22"/>
      <c r="L416" s="22"/>
      <c r="M416" s="25" t="str">
        <f>IF(AND(L416&gt;=ref!$L$2,L416&lt;=ref!$M$2),ref!$K$2,IF(AND(L416&gt;=ref!$L$3,L416&lt;=ref!$M$3),ref!$K$3,IF(AND(L416&gt;=ref!$L$4,L416&lt;=ref!$M$4),ref!$K$4,IF(AND(L416&gt;=ref!$L$5,L416&lt;=ref!$M$5),ref!$K$5,IF(AND(L416&gt;=ref!$L$6,L416&lt;=ref!$M$6),ref!$K$6,IF(AND(L416&gt;=ref!$L$7,L416&lt;=ref!$M$7),ref!$K$7,IF(AND(L416&gt;=ref!$L$8,L416&lt;=ref!$M$8),ref!$K$8,IF(AND(L416&gt;=ref!$L$9,L416&lt;=ref!$M$9),ref!$K$9,IF(AND(L416&gt;=ref!$L$11,L416&lt;=ref!$M$11),ref!$K$11,IF(AND(L416&gt;=ref!$L$12,L416&lt;=ref!$M$12),ref!$K$12,""))))))))))</f>
        <v/>
      </c>
      <c r="N416" s="22"/>
      <c r="O416" s="16"/>
      <c r="P416" s="22"/>
      <c r="Q416" s="27"/>
      <c r="R416" s="22"/>
      <c r="S416" s="22"/>
      <c r="T416" s="16"/>
      <c r="U416" s="16"/>
      <c r="V416" s="16"/>
      <c r="W416" s="16"/>
      <c r="X416" s="16"/>
      <c r="Y416" s="16"/>
      <c r="Z416" s="16"/>
      <c r="AA416" s="16"/>
      <c r="AB416" s="22"/>
    </row>
    <row r="417" spans="1:28" x14ac:dyDescent="0.3">
      <c r="A417" s="22"/>
      <c r="B417" s="22"/>
      <c r="C417" s="22"/>
      <c r="D417" s="22"/>
      <c r="E417" s="22"/>
      <c r="F417" s="22"/>
      <c r="G417" s="22"/>
      <c r="H417" s="22"/>
      <c r="I417" s="24" t="str">
        <f t="shared" si="12"/>
        <v/>
      </c>
      <c r="J417" s="25" t="str">
        <f t="shared" si="13"/>
        <v/>
      </c>
      <c r="K417" s="22"/>
      <c r="L417" s="22"/>
      <c r="M417" s="25" t="str">
        <f>IF(AND(L417&gt;=ref!$L$2,L417&lt;=ref!$M$2),ref!$K$2,IF(AND(L417&gt;=ref!$L$3,L417&lt;=ref!$M$3),ref!$K$3,IF(AND(L417&gt;=ref!$L$4,L417&lt;=ref!$M$4),ref!$K$4,IF(AND(L417&gt;=ref!$L$5,L417&lt;=ref!$M$5),ref!$K$5,IF(AND(L417&gt;=ref!$L$6,L417&lt;=ref!$M$6),ref!$K$6,IF(AND(L417&gt;=ref!$L$7,L417&lt;=ref!$M$7),ref!$K$7,IF(AND(L417&gt;=ref!$L$8,L417&lt;=ref!$M$8),ref!$K$8,IF(AND(L417&gt;=ref!$L$9,L417&lt;=ref!$M$9),ref!$K$9,IF(AND(L417&gt;=ref!$L$11,L417&lt;=ref!$M$11),ref!$K$11,IF(AND(L417&gt;=ref!$L$12,L417&lt;=ref!$M$12),ref!$K$12,""))))))))))</f>
        <v/>
      </c>
      <c r="N417" s="22"/>
      <c r="O417" s="16"/>
      <c r="P417" s="22"/>
      <c r="Q417" s="27"/>
      <c r="R417" s="22"/>
      <c r="S417" s="22"/>
      <c r="T417" s="16"/>
      <c r="U417" s="16"/>
      <c r="V417" s="16"/>
      <c r="W417" s="16"/>
      <c r="X417" s="16"/>
      <c r="Y417" s="16"/>
      <c r="Z417" s="16"/>
      <c r="AA417" s="16"/>
      <c r="AB417" s="22"/>
    </row>
    <row r="418" spans="1:28" x14ac:dyDescent="0.3">
      <c r="A418" s="22"/>
      <c r="B418" s="22"/>
      <c r="C418" s="22"/>
      <c r="D418" s="22"/>
      <c r="E418" s="22"/>
      <c r="F418" s="22"/>
      <c r="G418" s="22"/>
      <c r="H418" s="22"/>
      <c r="I418" s="24" t="str">
        <f t="shared" si="12"/>
        <v/>
      </c>
      <c r="J418" s="25" t="str">
        <f t="shared" si="13"/>
        <v/>
      </c>
      <c r="K418" s="22"/>
      <c r="L418" s="22"/>
      <c r="M418" s="25" t="str">
        <f>IF(AND(L418&gt;=ref!$L$2,L418&lt;=ref!$M$2),ref!$K$2,IF(AND(L418&gt;=ref!$L$3,L418&lt;=ref!$M$3),ref!$K$3,IF(AND(L418&gt;=ref!$L$4,L418&lt;=ref!$M$4),ref!$K$4,IF(AND(L418&gt;=ref!$L$5,L418&lt;=ref!$M$5),ref!$K$5,IF(AND(L418&gt;=ref!$L$6,L418&lt;=ref!$M$6),ref!$K$6,IF(AND(L418&gt;=ref!$L$7,L418&lt;=ref!$M$7),ref!$K$7,IF(AND(L418&gt;=ref!$L$8,L418&lt;=ref!$M$8),ref!$K$8,IF(AND(L418&gt;=ref!$L$9,L418&lt;=ref!$M$9),ref!$K$9,IF(AND(L418&gt;=ref!$L$11,L418&lt;=ref!$M$11),ref!$K$11,IF(AND(L418&gt;=ref!$L$12,L418&lt;=ref!$M$12),ref!$K$12,""))))))))))</f>
        <v/>
      </c>
      <c r="N418" s="22"/>
      <c r="O418" s="16"/>
      <c r="P418" s="22"/>
      <c r="Q418" s="27"/>
      <c r="R418" s="22"/>
      <c r="S418" s="22"/>
      <c r="T418" s="16"/>
      <c r="U418" s="16"/>
      <c r="V418" s="16"/>
      <c r="W418" s="16"/>
      <c r="X418" s="16"/>
      <c r="Y418" s="16"/>
      <c r="Z418" s="16"/>
      <c r="AA418" s="16"/>
      <c r="AB418" s="22"/>
    </row>
    <row r="419" spans="1:28" x14ac:dyDescent="0.3">
      <c r="A419" s="22"/>
      <c r="B419" s="22"/>
      <c r="C419" s="22"/>
      <c r="D419" s="22"/>
      <c r="E419" s="22"/>
      <c r="F419" s="22"/>
      <c r="G419" s="22"/>
      <c r="H419" s="22"/>
      <c r="I419" s="24" t="str">
        <f t="shared" si="12"/>
        <v/>
      </c>
      <c r="J419" s="25" t="str">
        <f t="shared" si="13"/>
        <v/>
      </c>
      <c r="K419" s="22"/>
      <c r="L419" s="22"/>
      <c r="M419" s="25" t="str">
        <f>IF(AND(L419&gt;=ref!$L$2,L419&lt;=ref!$M$2),ref!$K$2,IF(AND(L419&gt;=ref!$L$3,L419&lt;=ref!$M$3),ref!$K$3,IF(AND(L419&gt;=ref!$L$4,L419&lt;=ref!$M$4),ref!$K$4,IF(AND(L419&gt;=ref!$L$5,L419&lt;=ref!$M$5),ref!$K$5,IF(AND(L419&gt;=ref!$L$6,L419&lt;=ref!$M$6),ref!$K$6,IF(AND(L419&gt;=ref!$L$7,L419&lt;=ref!$M$7),ref!$K$7,IF(AND(L419&gt;=ref!$L$8,L419&lt;=ref!$M$8),ref!$K$8,IF(AND(L419&gt;=ref!$L$9,L419&lt;=ref!$M$9),ref!$K$9,IF(AND(L419&gt;=ref!$L$11,L419&lt;=ref!$M$11),ref!$K$11,IF(AND(L419&gt;=ref!$L$12,L419&lt;=ref!$M$12),ref!$K$12,""))))))))))</f>
        <v/>
      </c>
      <c r="N419" s="22"/>
      <c r="O419" s="16"/>
      <c r="P419" s="22"/>
      <c r="Q419" s="27"/>
      <c r="R419" s="22"/>
      <c r="S419" s="22"/>
      <c r="T419" s="16"/>
      <c r="U419" s="16"/>
      <c r="V419" s="16"/>
      <c r="W419" s="16"/>
      <c r="X419" s="16"/>
      <c r="Y419" s="16"/>
      <c r="Z419" s="16"/>
      <c r="AA419" s="16"/>
      <c r="AB419" s="22"/>
    </row>
    <row r="420" spans="1:28" x14ac:dyDescent="0.3">
      <c r="A420" s="22"/>
      <c r="B420" s="22"/>
      <c r="C420" s="22"/>
      <c r="D420" s="22"/>
      <c r="E420" s="22"/>
      <c r="F420" s="22"/>
      <c r="G420" s="22"/>
      <c r="H420" s="22"/>
      <c r="I420" s="24" t="str">
        <f t="shared" si="12"/>
        <v/>
      </c>
      <c r="J420" s="25" t="str">
        <f t="shared" si="13"/>
        <v/>
      </c>
      <c r="K420" s="22"/>
      <c r="L420" s="22"/>
      <c r="M420" s="25" t="str">
        <f>IF(AND(L420&gt;=ref!$L$2,L420&lt;=ref!$M$2),ref!$K$2,IF(AND(L420&gt;=ref!$L$3,L420&lt;=ref!$M$3),ref!$K$3,IF(AND(L420&gt;=ref!$L$4,L420&lt;=ref!$M$4),ref!$K$4,IF(AND(L420&gt;=ref!$L$5,L420&lt;=ref!$M$5),ref!$K$5,IF(AND(L420&gt;=ref!$L$6,L420&lt;=ref!$M$6),ref!$K$6,IF(AND(L420&gt;=ref!$L$7,L420&lt;=ref!$M$7),ref!$K$7,IF(AND(L420&gt;=ref!$L$8,L420&lt;=ref!$M$8),ref!$K$8,IF(AND(L420&gt;=ref!$L$9,L420&lt;=ref!$M$9),ref!$K$9,IF(AND(L420&gt;=ref!$L$11,L420&lt;=ref!$M$11),ref!$K$11,IF(AND(L420&gt;=ref!$L$12,L420&lt;=ref!$M$12),ref!$K$12,""))))))))))</f>
        <v/>
      </c>
      <c r="N420" s="22"/>
      <c r="O420" s="16"/>
      <c r="P420" s="22"/>
      <c r="Q420" s="27"/>
      <c r="R420" s="22"/>
      <c r="S420" s="22"/>
      <c r="T420" s="16"/>
      <c r="U420" s="16"/>
      <c r="V420" s="16"/>
      <c r="W420" s="16"/>
      <c r="X420" s="16"/>
      <c r="Y420" s="16"/>
      <c r="Z420" s="16"/>
      <c r="AA420" s="16"/>
      <c r="AB420" s="22"/>
    </row>
    <row r="421" spans="1:28" x14ac:dyDescent="0.3">
      <c r="A421" s="22"/>
      <c r="B421" s="22"/>
      <c r="C421" s="22"/>
      <c r="D421" s="22"/>
      <c r="E421" s="22"/>
      <c r="F421" s="22"/>
      <c r="G421" s="22"/>
      <c r="H421" s="22"/>
      <c r="I421" s="24" t="str">
        <f t="shared" si="12"/>
        <v/>
      </c>
      <c r="J421" s="25" t="str">
        <f t="shared" si="13"/>
        <v/>
      </c>
      <c r="K421" s="22"/>
      <c r="L421" s="22"/>
      <c r="M421" s="25" t="str">
        <f>IF(AND(L421&gt;=ref!$L$2,L421&lt;=ref!$M$2),ref!$K$2,IF(AND(L421&gt;=ref!$L$3,L421&lt;=ref!$M$3),ref!$K$3,IF(AND(L421&gt;=ref!$L$4,L421&lt;=ref!$M$4),ref!$K$4,IF(AND(L421&gt;=ref!$L$5,L421&lt;=ref!$M$5),ref!$K$5,IF(AND(L421&gt;=ref!$L$6,L421&lt;=ref!$M$6),ref!$K$6,IF(AND(L421&gt;=ref!$L$7,L421&lt;=ref!$M$7),ref!$K$7,IF(AND(L421&gt;=ref!$L$8,L421&lt;=ref!$M$8),ref!$K$8,IF(AND(L421&gt;=ref!$L$9,L421&lt;=ref!$M$9),ref!$K$9,IF(AND(L421&gt;=ref!$L$11,L421&lt;=ref!$M$11),ref!$K$11,IF(AND(L421&gt;=ref!$L$12,L421&lt;=ref!$M$12),ref!$K$12,""))))))))))</f>
        <v/>
      </c>
      <c r="N421" s="22"/>
      <c r="O421" s="16"/>
      <c r="P421" s="22"/>
      <c r="Q421" s="27"/>
      <c r="R421" s="22"/>
      <c r="S421" s="22"/>
      <c r="T421" s="16"/>
      <c r="U421" s="16"/>
      <c r="V421" s="16"/>
      <c r="W421" s="16"/>
      <c r="X421" s="16"/>
      <c r="Y421" s="16"/>
      <c r="Z421" s="16"/>
      <c r="AA421" s="16"/>
      <c r="AB421" s="22"/>
    </row>
    <row r="422" spans="1:28" x14ac:dyDescent="0.3">
      <c r="A422" s="22"/>
      <c r="B422" s="22"/>
      <c r="C422" s="22"/>
      <c r="D422" s="22"/>
      <c r="E422" s="22"/>
      <c r="F422" s="22"/>
      <c r="G422" s="22"/>
      <c r="H422" s="22"/>
      <c r="I422" s="24" t="str">
        <f t="shared" si="12"/>
        <v/>
      </c>
      <c r="J422" s="25" t="str">
        <f t="shared" si="13"/>
        <v/>
      </c>
      <c r="K422" s="22"/>
      <c r="L422" s="22"/>
      <c r="M422" s="25" t="str">
        <f>IF(AND(L422&gt;=ref!$L$2,L422&lt;=ref!$M$2),ref!$K$2,IF(AND(L422&gt;=ref!$L$3,L422&lt;=ref!$M$3),ref!$K$3,IF(AND(L422&gt;=ref!$L$4,L422&lt;=ref!$M$4),ref!$K$4,IF(AND(L422&gt;=ref!$L$5,L422&lt;=ref!$M$5),ref!$K$5,IF(AND(L422&gt;=ref!$L$6,L422&lt;=ref!$M$6),ref!$K$6,IF(AND(L422&gt;=ref!$L$7,L422&lt;=ref!$M$7),ref!$K$7,IF(AND(L422&gt;=ref!$L$8,L422&lt;=ref!$M$8),ref!$K$8,IF(AND(L422&gt;=ref!$L$9,L422&lt;=ref!$M$9),ref!$K$9,IF(AND(L422&gt;=ref!$L$11,L422&lt;=ref!$M$11),ref!$K$11,IF(AND(L422&gt;=ref!$L$12,L422&lt;=ref!$M$12),ref!$K$12,""))))))))))</f>
        <v/>
      </c>
      <c r="N422" s="22"/>
      <c r="O422" s="16"/>
      <c r="P422" s="22"/>
      <c r="Q422" s="27"/>
      <c r="R422" s="22"/>
      <c r="S422" s="22"/>
      <c r="T422" s="16"/>
      <c r="U422" s="16"/>
      <c r="V422" s="16"/>
      <c r="W422" s="16"/>
      <c r="X422" s="16"/>
      <c r="Y422" s="16"/>
      <c r="Z422" s="16"/>
      <c r="AA422" s="16"/>
      <c r="AB422" s="22"/>
    </row>
    <row r="423" spans="1:28" x14ac:dyDescent="0.3">
      <c r="A423" s="22"/>
      <c r="B423" s="22"/>
      <c r="C423" s="22"/>
      <c r="D423" s="22"/>
      <c r="E423" s="22"/>
      <c r="F423" s="22"/>
      <c r="G423" s="22"/>
      <c r="H423" s="22"/>
      <c r="I423" s="24" t="str">
        <f t="shared" si="12"/>
        <v/>
      </c>
      <c r="J423" s="25" t="str">
        <f t="shared" si="13"/>
        <v/>
      </c>
      <c r="K423" s="22"/>
      <c r="L423" s="22"/>
      <c r="M423" s="25" t="str">
        <f>IF(AND(L423&gt;=ref!$L$2,L423&lt;=ref!$M$2),ref!$K$2,IF(AND(L423&gt;=ref!$L$3,L423&lt;=ref!$M$3),ref!$K$3,IF(AND(L423&gt;=ref!$L$4,L423&lt;=ref!$M$4),ref!$K$4,IF(AND(L423&gt;=ref!$L$5,L423&lt;=ref!$M$5),ref!$K$5,IF(AND(L423&gt;=ref!$L$6,L423&lt;=ref!$M$6),ref!$K$6,IF(AND(L423&gt;=ref!$L$7,L423&lt;=ref!$M$7),ref!$K$7,IF(AND(L423&gt;=ref!$L$8,L423&lt;=ref!$M$8),ref!$K$8,IF(AND(L423&gt;=ref!$L$9,L423&lt;=ref!$M$9),ref!$K$9,IF(AND(L423&gt;=ref!$L$11,L423&lt;=ref!$M$11),ref!$K$11,IF(AND(L423&gt;=ref!$L$12,L423&lt;=ref!$M$12),ref!$K$12,""))))))))))</f>
        <v/>
      </c>
      <c r="N423" s="22"/>
      <c r="O423" s="16"/>
      <c r="P423" s="22"/>
      <c r="Q423" s="27"/>
      <c r="R423" s="22"/>
      <c r="S423" s="22"/>
      <c r="T423" s="16"/>
      <c r="U423" s="16"/>
      <c r="V423" s="16"/>
      <c r="W423" s="16"/>
      <c r="X423" s="16"/>
      <c r="Y423" s="16"/>
      <c r="Z423" s="16"/>
      <c r="AA423" s="16"/>
      <c r="AB423" s="22"/>
    </row>
    <row r="424" spans="1:28" x14ac:dyDescent="0.3">
      <c r="B424" s="22"/>
      <c r="C424" s="22"/>
      <c r="D424" s="22"/>
      <c r="E424" s="22"/>
      <c r="F424" s="22"/>
      <c r="G424" s="22"/>
      <c r="H424" s="22"/>
      <c r="I424" s="22"/>
      <c r="J424" s="22"/>
      <c r="K424" s="22"/>
      <c r="L424" s="22"/>
      <c r="M424" s="22"/>
      <c r="N424" s="22"/>
      <c r="O424" s="16"/>
      <c r="P424" s="22"/>
      <c r="Q424" s="27"/>
      <c r="R424" s="22"/>
      <c r="S424" s="22"/>
      <c r="T424" s="22"/>
      <c r="U424" s="22"/>
      <c r="V424" s="22"/>
      <c r="W424" s="22"/>
      <c r="X424" s="22"/>
      <c r="Y424" s="22"/>
      <c r="Z424" s="22"/>
      <c r="AA424" s="22"/>
      <c r="AB424" s="22"/>
    </row>
    <row r="425" spans="1:28" x14ac:dyDescent="0.3">
      <c r="A425" s="22"/>
      <c r="B425" s="22"/>
      <c r="C425" s="22"/>
      <c r="D425" s="22"/>
      <c r="E425" s="22"/>
      <c r="F425" s="22"/>
      <c r="G425" s="22"/>
      <c r="H425" s="22"/>
      <c r="I425" s="22"/>
      <c r="J425" s="22"/>
      <c r="K425" s="22"/>
      <c r="L425" s="22"/>
      <c r="M425" s="22"/>
      <c r="N425" s="22"/>
      <c r="O425" s="16"/>
      <c r="P425" s="22"/>
      <c r="Q425" s="27"/>
      <c r="R425" s="22"/>
      <c r="S425" s="22"/>
      <c r="T425" s="22"/>
      <c r="U425" s="22"/>
      <c r="V425" s="22"/>
      <c r="W425" s="22"/>
      <c r="X425" s="22"/>
      <c r="Y425" s="22"/>
      <c r="Z425" s="22"/>
      <c r="AA425" s="22"/>
      <c r="AB425" s="22"/>
    </row>
    <row r="426" spans="1:28" x14ac:dyDescent="0.3">
      <c r="A426" s="22"/>
      <c r="B426" s="22"/>
      <c r="C426" s="22"/>
      <c r="D426" s="22"/>
      <c r="E426" s="22"/>
      <c r="F426" s="22"/>
      <c r="G426" s="22"/>
      <c r="H426" s="22"/>
      <c r="I426" s="22"/>
      <c r="J426" s="22"/>
      <c r="K426" s="22"/>
      <c r="L426" s="22"/>
      <c r="M426" s="22"/>
      <c r="N426" s="22"/>
      <c r="O426" s="16"/>
      <c r="P426" s="22"/>
      <c r="Q426" s="27"/>
      <c r="R426" s="22"/>
      <c r="S426" s="22"/>
      <c r="T426" s="22"/>
      <c r="U426" s="22"/>
      <c r="V426" s="22"/>
      <c r="W426" s="22"/>
      <c r="X426" s="22"/>
      <c r="Y426" s="22"/>
      <c r="Z426" s="22"/>
      <c r="AA426" s="22"/>
      <c r="AB426" s="22"/>
    </row>
    <row r="427" spans="1:28" x14ac:dyDescent="0.3">
      <c r="A427" s="22"/>
      <c r="B427" s="22"/>
      <c r="C427" s="22"/>
      <c r="D427" s="22"/>
      <c r="E427" s="22"/>
      <c r="F427" s="22"/>
      <c r="G427" s="22"/>
      <c r="H427" s="22"/>
      <c r="I427" s="22"/>
      <c r="J427" s="22"/>
      <c r="K427" s="22"/>
      <c r="L427" s="22"/>
      <c r="M427" s="22"/>
      <c r="N427" s="22"/>
      <c r="O427" s="16"/>
      <c r="P427" s="22"/>
      <c r="Q427" s="27"/>
      <c r="R427" s="22"/>
      <c r="S427" s="22"/>
      <c r="T427" s="22"/>
      <c r="U427" s="22"/>
      <c r="V427" s="22"/>
      <c r="W427" s="22"/>
      <c r="X427" s="22"/>
      <c r="Y427" s="22"/>
      <c r="Z427" s="22"/>
      <c r="AA427" s="22"/>
      <c r="AB427" s="22"/>
    </row>
    <row r="428" spans="1:28" x14ac:dyDescent="0.3">
      <c r="A428" s="22"/>
      <c r="B428" s="22"/>
      <c r="C428" s="22"/>
      <c r="D428" s="22"/>
      <c r="E428" s="22"/>
      <c r="F428" s="22"/>
      <c r="G428" s="22"/>
      <c r="H428" s="22"/>
      <c r="I428" s="22"/>
      <c r="J428" s="22"/>
      <c r="K428" s="22"/>
      <c r="L428" s="22"/>
      <c r="M428" s="22"/>
      <c r="N428" s="22"/>
      <c r="O428" s="16"/>
      <c r="P428" s="22"/>
      <c r="Q428" s="27"/>
      <c r="R428" s="22"/>
      <c r="S428" s="22"/>
      <c r="T428" s="22"/>
      <c r="U428" s="22"/>
      <c r="V428" s="22"/>
      <c r="W428" s="22"/>
      <c r="X428" s="22"/>
      <c r="Y428" s="22"/>
      <c r="Z428" s="22"/>
      <c r="AA428" s="22"/>
      <c r="AB428" s="22"/>
    </row>
    <row r="429" spans="1:28" x14ac:dyDescent="0.3">
      <c r="A429" s="22"/>
      <c r="B429" s="22"/>
      <c r="C429" s="22"/>
      <c r="D429" s="22"/>
      <c r="E429" s="22"/>
      <c r="F429" s="22"/>
      <c r="G429" s="22"/>
      <c r="H429" s="22"/>
      <c r="I429" s="22"/>
      <c r="J429" s="22"/>
      <c r="K429" s="22"/>
      <c r="L429" s="22"/>
      <c r="M429" s="22"/>
      <c r="N429" s="22"/>
      <c r="O429" s="16"/>
      <c r="P429" s="22"/>
      <c r="Q429" s="27"/>
      <c r="R429" s="22"/>
      <c r="S429" s="22"/>
      <c r="T429" s="22"/>
      <c r="U429" s="22"/>
      <c r="V429" s="22"/>
      <c r="W429" s="22"/>
      <c r="X429" s="22"/>
      <c r="Y429" s="22"/>
      <c r="Z429" s="22"/>
      <c r="AA429" s="22"/>
      <c r="AB429" s="22"/>
    </row>
    <row r="430" spans="1:28" x14ac:dyDescent="0.3">
      <c r="A430" s="22"/>
      <c r="B430" s="22"/>
      <c r="C430" s="22"/>
      <c r="D430" s="22"/>
      <c r="E430" s="22"/>
      <c r="F430" s="22"/>
      <c r="G430" s="22"/>
      <c r="H430" s="22"/>
      <c r="I430" s="22"/>
      <c r="J430" s="22"/>
      <c r="K430" s="22"/>
      <c r="L430" s="22"/>
      <c r="M430" s="22"/>
      <c r="N430" s="22"/>
      <c r="O430" s="16"/>
      <c r="P430" s="22"/>
      <c r="Q430" s="27"/>
      <c r="R430" s="22"/>
      <c r="S430" s="22"/>
      <c r="T430" s="22"/>
      <c r="U430" s="22"/>
      <c r="V430" s="22"/>
      <c r="W430" s="22"/>
      <c r="X430" s="22"/>
      <c r="Y430" s="22"/>
      <c r="Z430" s="22"/>
      <c r="AA430" s="22"/>
      <c r="AB430" s="22"/>
    </row>
    <row r="431" spans="1:28" x14ac:dyDescent="0.3">
      <c r="A431" s="22"/>
      <c r="B431" s="22"/>
      <c r="C431" s="22"/>
      <c r="D431" s="22"/>
      <c r="E431" s="22"/>
      <c r="F431" s="22"/>
      <c r="G431" s="22"/>
      <c r="H431" s="22"/>
      <c r="I431" s="22"/>
      <c r="J431" s="22"/>
      <c r="K431" s="22"/>
      <c r="L431" s="22"/>
      <c r="M431" s="22"/>
      <c r="N431" s="22"/>
      <c r="O431" s="16"/>
      <c r="P431" s="22"/>
      <c r="Q431" s="27"/>
      <c r="R431" s="22"/>
      <c r="S431" s="22"/>
      <c r="T431" s="22"/>
      <c r="U431" s="22"/>
      <c r="V431" s="22"/>
      <c r="W431" s="22"/>
      <c r="X431" s="22"/>
      <c r="Y431" s="22"/>
      <c r="Z431" s="22"/>
      <c r="AA431" s="22"/>
      <c r="AB431" s="22"/>
    </row>
    <row r="432" spans="1:28" x14ac:dyDescent="0.3">
      <c r="A432" s="22"/>
      <c r="B432" s="22"/>
      <c r="C432" s="22"/>
      <c r="D432" s="22"/>
      <c r="E432" s="22"/>
      <c r="F432" s="22"/>
      <c r="G432" s="22"/>
      <c r="H432" s="22"/>
      <c r="I432" s="22"/>
      <c r="J432" s="22"/>
      <c r="K432" s="22"/>
      <c r="L432" s="22"/>
      <c r="M432" s="22"/>
      <c r="N432" s="22"/>
      <c r="O432" s="16"/>
      <c r="P432" s="22"/>
      <c r="Q432" s="27"/>
      <c r="R432" s="22"/>
      <c r="S432" s="22"/>
      <c r="T432" s="22"/>
      <c r="U432" s="22"/>
      <c r="V432" s="22"/>
      <c r="W432" s="22"/>
      <c r="X432" s="22"/>
      <c r="Y432" s="22"/>
      <c r="Z432" s="22"/>
      <c r="AA432" s="22"/>
      <c r="AB432" s="22"/>
    </row>
    <row r="433" spans="1:28" x14ac:dyDescent="0.3">
      <c r="A433" s="22"/>
      <c r="B433" s="22"/>
      <c r="C433" s="22"/>
      <c r="D433" s="22"/>
      <c r="E433" s="22"/>
      <c r="F433" s="22"/>
      <c r="G433" s="22"/>
      <c r="H433" s="22"/>
      <c r="I433" s="22"/>
      <c r="J433" s="22"/>
      <c r="K433" s="22"/>
      <c r="L433" s="22"/>
      <c r="M433" s="22"/>
      <c r="N433" s="22"/>
      <c r="O433" s="16"/>
      <c r="P433" s="22"/>
      <c r="Q433" s="27"/>
      <c r="R433" s="22"/>
      <c r="S433" s="22"/>
      <c r="T433" s="22"/>
      <c r="U433" s="22"/>
      <c r="V433" s="22"/>
      <c r="W433" s="22"/>
      <c r="X433" s="22"/>
      <c r="Y433" s="22"/>
      <c r="Z433" s="22"/>
      <c r="AA433" s="22"/>
      <c r="AB433" s="22"/>
    </row>
    <row r="434" spans="1:28" x14ac:dyDescent="0.3">
      <c r="A434" s="22"/>
      <c r="B434" s="22"/>
      <c r="C434" s="22"/>
      <c r="D434" s="22"/>
      <c r="E434" s="22"/>
      <c r="F434" s="22"/>
      <c r="G434" s="22"/>
      <c r="H434" s="22"/>
      <c r="I434" s="22"/>
      <c r="J434" s="22"/>
      <c r="K434" s="22"/>
      <c r="L434" s="22"/>
      <c r="M434" s="22"/>
      <c r="N434" s="22"/>
      <c r="O434" s="16"/>
      <c r="P434" s="22"/>
      <c r="Q434" s="27"/>
      <c r="R434" s="22"/>
      <c r="S434" s="22"/>
      <c r="T434" s="22"/>
      <c r="U434" s="22"/>
      <c r="V434" s="22"/>
      <c r="W434" s="22"/>
      <c r="X434" s="22"/>
      <c r="Y434" s="22"/>
      <c r="Z434" s="22"/>
      <c r="AA434" s="22"/>
      <c r="AB434" s="22"/>
    </row>
    <row r="435" spans="1:28" x14ac:dyDescent="0.3">
      <c r="A435" s="22"/>
      <c r="B435" s="22"/>
      <c r="C435" s="22"/>
      <c r="D435" s="22"/>
      <c r="E435" s="22"/>
      <c r="F435" s="22"/>
      <c r="G435" s="22"/>
      <c r="H435" s="22"/>
      <c r="I435" s="22"/>
      <c r="J435" s="22"/>
      <c r="K435" s="22"/>
      <c r="L435" s="22"/>
      <c r="M435" s="22"/>
      <c r="N435" s="22"/>
      <c r="O435" s="16"/>
      <c r="P435" s="22"/>
      <c r="Q435" s="27"/>
      <c r="R435" s="22"/>
      <c r="S435" s="22"/>
      <c r="T435" s="22"/>
      <c r="U435" s="22"/>
      <c r="V435" s="22"/>
      <c r="W435" s="22"/>
      <c r="X435" s="22"/>
      <c r="Y435" s="22"/>
      <c r="Z435" s="22"/>
      <c r="AA435" s="22"/>
      <c r="AB435" s="22"/>
    </row>
    <row r="436" spans="1:28" x14ac:dyDescent="0.3">
      <c r="A436" s="22"/>
      <c r="B436" s="22"/>
      <c r="C436" s="22"/>
      <c r="D436" s="22"/>
      <c r="E436" s="22"/>
      <c r="F436" s="22"/>
      <c r="G436" s="22"/>
      <c r="H436" s="22"/>
      <c r="I436" s="22"/>
      <c r="J436" s="22"/>
      <c r="K436" s="22"/>
      <c r="L436" s="22"/>
      <c r="M436" s="22"/>
      <c r="N436" s="22"/>
      <c r="O436" s="16"/>
      <c r="P436" s="22"/>
      <c r="Q436" s="27"/>
      <c r="R436" s="22"/>
      <c r="S436" s="22"/>
      <c r="T436" s="22"/>
      <c r="U436" s="22"/>
      <c r="V436" s="22"/>
      <c r="W436" s="22"/>
      <c r="X436" s="22"/>
      <c r="Y436" s="22"/>
      <c r="Z436" s="22"/>
      <c r="AA436" s="22"/>
      <c r="AB436" s="22"/>
    </row>
    <row r="437" spans="1:28" x14ac:dyDescent="0.3">
      <c r="A437" s="22"/>
      <c r="B437" s="22"/>
      <c r="C437" s="22"/>
      <c r="D437" s="22"/>
      <c r="E437" s="22"/>
      <c r="F437" s="22"/>
      <c r="G437" s="22"/>
      <c r="H437" s="22"/>
      <c r="I437" s="22"/>
      <c r="J437" s="22"/>
      <c r="K437" s="22"/>
      <c r="L437" s="22"/>
      <c r="M437" s="22"/>
      <c r="N437" s="22"/>
      <c r="O437" s="16"/>
      <c r="P437" s="22"/>
      <c r="Q437" s="27"/>
      <c r="R437" s="22"/>
      <c r="S437" s="22"/>
      <c r="T437" s="22"/>
      <c r="U437" s="22"/>
      <c r="V437" s="22"/>
      <c r="W437" s="22"/>
      <c r="X437" s="22"/>
      <c r="Y437" s="22"/>
      <c r="Z437" s="22"/>
      <c r="AA437" s="22"/>
      <c r="AB437" s="22"/>
    </row>
    <row r="438" spans="1:28" x14ac:dyDescent="0.3">
      <c r="A438" s="22"/>
      <c r="B438" s="22"/>
      <c r="C438" s="22"/>
      <c r="D438" s="22"/>
      <c r="E438" s="22"/>
      <c r="F438" s="22"/>
      <c r="G438" s="22"/>
      <c r="H438" s="22"/>
      <c r="I438" s="22"/>
      <c r="J438" s="22"/>
      <c r="K438" s="22"/>
      <c r="L438" s="22"/>
      <c r="M438" s="22"/>
      <c r="N438" s="22"/>
      <c r="O438" s="16"/>
      <c r="P438" s="22"/>
      <c r="Q438" s="27"/>
      <c r="R438" s="22"/>
      <c r="S438" s="22"/>
      <c r="T438" s="22"/>
      <c r="U438" s="22"/>
      <c r="V438" s="22"/>
      <c r="W438" s="22"/>
      <c r="X438" s="22"/>
      <c r="Y438" s="22"/>
      <c r="Z438" s="22"/>
      <c r="AA438" s="22"/>
      <c r="AB438" s="22"/>
    </row>
    <row r="439" spans="1:28" x14ac:dyDescent="0.3">
      <c r="A439" s="22"/>
      <c r="B439" s="22"/>
      <c r="C439" s="22"/>
      <c r="D439" s="22"/>
      <c r="E439" s="22"/>
      <c r="F439" s="22"/>
      <c r="G439" s="22"/>
      <c r="H439" s="22"/>
      <c r="I439" s="22"/>
      <c r="J439" s="22"/>
      <c r="K439" s="22"/>
      <c r="L439" s="22"/>
      <c r="M439" s="22"/>
      <c r="N439" s="22"/>
      <c r="O439" s="16"/>
      <c r="P439" s="22"/>
      <c r="Q439" s="27"/>
      <c r="R439" s="22"/>
      <c r="S439" s="22"/>
      <c r="T439" s="22"/>
      <c r="U439" s="22"/>
      <c r="V439" s="22"/>
      <c r="W439" s="22"/>
      <c r="X439" s="22"/>
      <c r="Y439" s="22"/>
      <c r="Z439" s="22"/>
      <c r="AA439" s="22"/>
      <c r="AB439" s="22"/>
    </row>
    <row r="440" spans="1:28" x14ac:dyDescent="0.3">
      <c r="A440" s="22"/>
      <c r="B440" s="22"/>
      <c r="C440" s="22"/>
      <c r="D440" s="22"/>
      <c r="E440" s="22"/>
      <c r="F440" s="22"/>
      <c r="G440" s="22"/>
      <c r="H440" s="22"/>
      <c r="I440" s="22"/>
      <c r="J440" s="22"/>
      <c r="K440" s="22"/>
      <c r="L440" s="22"/>
      <c r="M440" s="22"/>
      <c r="N440" s="22"/>
      <c r="O440" s="16"/>
      <c r="P440" s="22"/>
      <c r="Q440" s="27"/>
      <c r="R440" s="22"/>
      <c r="S440" s="22"/>
      <c r="T440" s="22"/>
      <c r="U440" s="22"/>
      <c r="V440" s="22"/>
      <c r="W440" s="22"/>
      <c r="X440" s="22"/>
      <c r="Y440" s="22"/>
      <c r="Z440" s="22"/>
      <c r="AA440" s="22"/>
      <c r="AB440" s="22"/>
    </row>
    <row r="441" spans="1:28" x14ac:dyDescent="0.3">
      <c r="A441" s="22"/>
      <c r="B441" s="22"/>
      <c r="C441" s="22"/>
      <c r="D441" s="22"/>
      <c r="E441" s="22"/>
      <c r="F441" s="22"/>
      <c r="G441" s="22"/>
      <c r="H441" s="22"/>
      <c r="I441" s="22"/>
      <c r="J441" s="22"/>
      <c r="K441" s="22"/>
      <c r="L441" s="22"/>
      <c r="M441" s="22"/>
      <c r="N441" s="22"/>
      <c r="O441" s="16"/>
      <c r="P441" s="22"/>
      <c r="Q441" s="27"/>
      <c r="R441" s="22"/>
      <c r="S441" s="22"/>
      <c r="T441" s="22"/>
      <c r="U441" s="22"/>
      <c r="V441" s="22"/>
      <c r="W441" s="22"/>
      <c r="X441" s="22"/>
      <c r="Y441" s="22"/>
      <c r="Z441" s="22"/>
      <c r="AA441" s="22"/>
      <c r="AB441" s="22"/>
    </row>
    <row r="442" spans="1:28" x14ac:dyDescent="0.3">
      <c r="A442" s="22"/>
      <c r="B442" s="22"/>
      <c r="C442" s="22"/>
      <c r="D442" s="22"/>
      <c r="E442" s="22"/>
      <c r="F442" s="22"/>
      <c r="G442" s="22"/>
      <c r="H442" s="22"/>
      <c r="I442" s="22"/>
      <c r="J442" s="22"/>
      <c r="K442" s="22"/>
      <c r="L442" s="22"/>
      <c r="M442" s="22"/>
      <c r="N442" s="22"/>
      <c r="O442" s="16"/>
      <c r="P442" s="22"/>
      <c r="Q442" s="27"/>
      <c r="R442" s="22"/>
      <c r="S442" s="22"/>
      <c r="T442" s="22"/>
      <c r="U442" s="22"/>
      <c r="V442" s="22"/>
      <c r="W442" s="22"/>
      <c r="X442" s="22"/>
      <c r="Y442" s="22"/>
      <c r="Z442" s="22"/>
      <c r="AA442" s="22"/>
      <c r="AB442" s="22"/>
    </row>
    <row r="443" spans="1:28" x14ac:dyDescent="0.3">
      <c r="A443" s="22"/>
      <c r="B443" s="22"/>
      <c r="C443" s="22"/>
      <c r="D443" s="22"/>
      <c r="E443" s="22"/>
      <c r="F443" s="22"/>
      <c r="G443" s="22"/>
      <c r="H443" s="22"/>
      <c r="I443" s="22"/>
      <c r="J443" s="22"/>
      <c r="K443" s="22"/>
      <c r="L443" s="22"/>
      <c r="M443" s="22"/>
      <c r="N443" s="22"/>
      <c r="O443" s="16"/>
      <c r="P443" s="22"/>
      <c r="Q443" s="27"/>
      <c r="R443" s="22"/>
      <c r="S443" s="22"/>
      <c r="T443" s="22"/>
      <c r="U443" s="22"/>
      <c r="V443" s="22"/>
      <c r="W443" s="22"/>
      <c r="X443" s="22"/>
      <c r="Y443" s="22"/>
      <c r="Z443" s="22"/>
      <c r="AA443" s="22"/>
      <c r="AB443" s="22"/>
    </row>
    <row r="444" spans="1:28" x14ac:dyDescent="0.3">
      <c r="A444" s="22"/>
      <c r="B444" s="22"/>
      <c r="C444" s="22"/>
      <c r="D444" s="22"/>
      <c r="E444" s="22"/>
      <c r="F444" s="22"/>
      <c r="G444" s="22"/>
      <c r="H444" s="22"/>
      <c r="I444" s="22"/>
      <c r="J444" s="22"/>
      <c r="K444" s="22"/>
      <c r="L444" s="22"/>
      <c r="M444" s="22"/>
      <c r="N444" s="22"/>
      <c r="O444" s="16"/>
      <c r="P444" s="22"/>
      <c r="Q444" s="27"/>
      <c r="R444" s="22"/>
      <c r="S444" s="22"/>
      <c r="T444" s="22"/>
      <c r="U444" s="22"/>
      <c r="V444" s="22"/>
      <c r="W444" s="22"/>
      <c r="X444" s="22"/>
      <c r="Y444" s="22"/>
      <c r="Z444" s="22"/>
      <c r="AA444" s="22"/>
      <c r="AB444" s="22"/>
    </row>
    <row r="445" spans="1:28" x14ac:dyDescent="0.3">
      <c r="A445" s="22"/>
      <c r="B445" s="22"/>
      <c r="C445" s="22"/>
      <c r="D445" s="22"/>
      <c r="E445" s="22"/>
      <c r="F445" s="22"/>
      <c r="G445" s="22"/>
      <c r="H445" s="22"/>
      <c r="I445" s="22"/>
      <c r="J445" s="22"/>
      <c r="K445" s="22"/>
      <c r="L445" s="22"/>
      <c r="M445" s="22"/>
      <c r="N445" s="22"/>
      <c r="O445" s="16"/>
      <c r="P445" s="22"/>
      <c r="Q445" s="27"/>
      <c r="R445" s="22"/>
      <c r="S445" s="22"/>
      <c r="T445" s="22"/>
      <c r="U445" s="22"/>
      <c r="V445" s="22"/>
      <c r="W445" s="22"/>
      <c r="X445" s="22"/>
      <c r="Y445" s="22"/>
      <c r="Z445" s="22"/>
      <c r="AA445" s="22"/>
      <c r="AB445" s="22"/>
    </row>
    <row r="446" spans="1:28" x14ac:dyDescent="0.3">
      <c r="A446" s="22"/>
      <c r="B446" s="22"/>
      <c r="C446" s="22"/>
      <c r="D446" s="22"/>
      <c r="E446" s="22"/>
      <c r="F446" s="22"/>
      <c r="G446" s="22"/>
      <c r="H446" s="22"/>
      <c r="I446" s="22"/>
      <c r="J446" s="22"/>
      <c r="K446" s="22"/>
      <c r="L446" s="22"/>
      <c r="M446" s="22"/>
      <c r="N446" s="22"/>
      <c r="O446" s="16"/>
      <c r="P446" s="22"/>
      <c r="Q446" s="27"/>
      <c r="R446" s="22"/>
      <c r="S446" s="22"/>
      <c r="T446" s="22"/>
      <c r="U446" s="22"/>
      <c r="V446" s="22"/>
      <c r="W446" s="22"/>
      <c r="X446" s="22"/>
      <c r="Y446" s="22"/>
      <c r="Z446" s="22"/>
      <c r="AA446" s="22"/>
      <c r="AB446" s="22"/>
    </row>
    <row r="447" spans="1:28" x14ac:dyDescent="0.3">
      <c r="A447" s="22"/>
      <c r="B447" s="22"/>
      <c r="C447" s="22"/>
      <c r="D447" s="22"/>
      <c r="E447" s="22"/>
      <c r="F447" s="22"/>
      <c r="G447" s="22"/>
      <c r="H447" s="22"/>
      <c r="I447" s="22"/>
      <c r="J447" s="22"/>
      <c r="K447" s="22"/>
      <c r="L447" s="22"/>
      <c r="M447" s="22"/>
      <c r="N447" s="22"/>
      <c r="O447" s="16"/>
      <c r="P447" s="22"/>
      <c r="Q447" s="27"/>
      <c r="R447" s="22"/>
      <c r="S447" s="22"/>
      <c r="T447" s="22"/>
      <c r="U447" s="22"/>
      <c r="V447" s="22"/>
      <c r="W447" s="22"/>
      <c r="X447" s="22"/>
      <c r="Y447" s="22"/>
      <c r="Z447" s="22"/>
      <c r="AA447" s="22"/>
      <c r="AB447" s="22"/>
    </row>
    <row r="448" spans="1:28" x14ac:dyDescent="0.3">
      <c r="A448" s="22"/>
      <c r="B448" s="22"/>
      <c r="C448" s="22"/>
      <c r="D448" s="22"/>
      <c r="E448" s="22"/>
      <c r="F448" s="22"/>
      <c r="G448" s="22"/>
      <c r="H448" s="22"/>
      <c r="I448" s="22"/>
      <c r="J448" s="22"/>
      <c r="K448" s="22"/>
      <c r="L448" s="22"/>
      <c r="M448" s="22"/>
      <c r="N448" s="22"/>
      <c r="O448" s="16"/>
      <c r="P448" s="22"/>
      <c r="Q448" s="27"/>
      <c r="R448" s="22"/>
      <c r="S448" s="22"/>
      <c r="T448" s="22"/>
      <c r="U448" s="22"/>
      <c r="V448" s="22"/>
      <c r="W448" s="22"/>
      <c r="X448" s="22"/>
      <c r="Y448" s="22"/>
      <c r="Z448" s="22"/>
      <c r="AA448" s="22"/>
      <c r="AB448" s="22"/>
    </row>
    <row r="449" spans="1:28" x14ac:dyDescent="0.3">
      <c r="A449" s="22"/>
      <c r="B449" s="22"/>
      <c r="C449" s="22"/>
      <c r="D449" s="22"/>
      <c r="E449" s="22"/>
      <c r="F449" s="22"/>
      <c r="G449" s="22"/>
      <c r="H449" s="22"/>
      <c r="I449" s="22"/>
      <c r="J449" s="22"/>
      <c r="K449" s="22"/>
      <c r="L449" s="22"/>
      <c r="M449" s="22"/>
      <c r="N449" s="22"/>
      <c r="O449" s="16"/>
      <c r="P449" s="22"/>
      <c r="Q449" s="27"/>
      <c r="R449" s="22"/>
      <c r="S449" s="22"/>
      <c r="T449" s="22"/>
      <c r="U449" s="22"/>
      <c r="V449" s="22"/>
      <c r="W449" s="22"/>
      <c r="X449" s="22"/>
      <c r="Y449" s="22"/>
      <c r="Z449" s="22"/>
      <c r="AA449" s="22"/>
      <c r="AB449" s="22"/>
    </row>
    <row r="450" spans="1:28" x14ac:dyDescent="0.3">
      <c r="A450" s="22"/>
      <c r="B450" s="22"/>
      <c r="C450" s="22"/>
      <c r="D450" s="22"/>
      <c r="E450" s="22"/>
      <c r="F450" s="22"/>
      <c r="G450" s="22"/>
      <c r="H450" s="22"/>
      <c r="I450" s="22"/>
      <c r="J450" s="22"/>
      <c r="K450" s="22"/>
      <c r="L450" s="22"/>
      <c r="M450" s="22"/>
      <c r="N450" s="22"/>
      <c r="O450" s="16"/>
      <c r="P450" s="22"/>
      <c r="Q450" s="27"/>
      <c r="R450" s="22"/>
      <c r="S450" s="22"/>
      <c r="T450" s="22"/>
      <c r="U450" s="22"/>
      <c r="V450" s="22"/>
      <c r="W450" s="22"/>
      <c r="X450" s="22"/>
      <c r="Y450" s="22"/>
      <c r="Z450" s="22"/>
      <c r="AA450" s="22"/>
      <c r="AB450" s="22"/>
    </row>
    <row r="451" spans="1:28" x14ac:dyDescent="0.3">
      <c r="A451" s="22"/>
      <c r="B451" s="22"/>
      <c r="C451" s="22"/>
      <c r="D451" s="22"/>
      <c r="E451" s="22"/>
      <c r="F451" s="22"/>
      <c r="G451" s="22"/>
      <c r="H451" s="22"/>
      <c r="I451" s="22"/>
      <c r="J451" s="22"/>
      <c r="K451" s="22"/>
      <c r="L451" s="22"/>
      <c r="M451" s="22"/>
      <c r="N451" s="22"/>
      <c r="O451" s="16"/>
      <c r="P451" s="22"/>
      <c r="Q451" s="27"/>
      <c r="R451" s="22"/>
      <c r="S451" s="22"/>
      <c r="T451" s="22"/>
      <c r="U451" s="22"/>
      <c r="V451" s="22"/>
      <c r="W451" s="22"/>
      <c r="X451" s="22"/>
      <c r="Y451" s="22"/>
      <c r="Z451" s="22"/>
      <c r="AA451" s="22"/>
      <c r="AB451" s="22"/>
    </row>
    <row r="452" spans="1:28" x14ac:dyDescent="0.3">
      <c r="A452" s="22"/>
      <c r="B452" s="22"/>
      <c r="C452" s="22"/>
      <c r="D452" s="22"/>
      <c r="E452" s="22"/>
      <c r="F452" s="22"/>
      <c r="G452" s="22"/>
      <c r="H452" s="22"/>
      <c r="I452" s="22"/>
      <c r="J452" s="22"/>
      <c r="K452" s="22"/>
      <c r="L452" s="22"/>
      <c r="M452" s="22"/>
      <c r="N452" s="22"/>
      <c r="O452" s="16"/>
      <c r="P452" s="22"/>
      <c r="Q452" s="27"/>
      <c r="R452" s="22"/>
      <c r="S452" s="22"/>
      <c r="T452" s="22"/>
      <c r="U452" s="22"/>
      <c r="V452" s="22"/>
      <c r="W452" s="22"/>
      <c r="X452" s="22"/>
      <c r="Y452" s="22"/>
      <c r="Z452" s="22"/>
      <c r="AA452" s="22"/>
      <c r="AB452" s="22"/>
    </row>
    <row r="453" spans="1:28" x14ac:dyDescent="0.3">
      <c r="A453" s="22"/>
      <c r="B453" s="22"/>
      <c r="C453" s="22"/>
      <c r="D453" s="22"/>
      <c r="E453" s="22"/>
      <c r="F453" s="22"/>
      <c r="G453" s="22"/>
      <c r="H453" s="22"/>
      <c r="I453" s="22"/>
      <c r="J453" s="22"/>
      <c r="K453" s="22"/>
      <c r="L453" s="22"/>
      <c r="M453" s="22"/>
      <c r="N453" s="22"/>
      <c r="O453" s="16"/>
      <c r="P453" s="22"/>
      <c r="Q453" s="27"/>
      <c r="R453" s="22"/>
      <c r="S453" s="22"/>
      <c r="T453" s="22"/>
      <c r="U453" s="22"/>
      <c r="V453" s="22"/>
      <c r="W453" s="22"/>
      <c r="X453" s="22"/>
      <c r="Y453" s="22"/>
      <c r="Z453" s="22"/>
      <c r="AA453" s="22"/>
      <c r="AB453" s="22"/>
    </row>
    <row r="454" spans="1:28" x14ac:dyDescent="0.3">
      <c r="A454" s="22"/>
      <c r="B454" s="22"/>
      <c r="C454" s="22"/>
      <c r="D454" s="22"/>
      <c r="E454" s="22"/>
      <c r="F454" s="22"/>
      <c r="G454" s="22"/>
      <c r="H454" s="22"/>
      <c r="I454" s="22"/>
      <c r="J454" s="22"/>
      <c r="K454" s="22"/>
      <c r="L454" s="22"/>
      <c r="M454" s="22"/>
      <c r="N454" s="22"/>
      <c r="O454" s="16"/>
      <c r="P454" s="22"/>
      <c r="Q454" s="27"/>
      <c r="R454" s="22"/>
      <c r="S454" s="22"/>
      <c r="T454" s="22"/>
      <c r="U454" s="22"/>
      <c r="V454" s="22"/>
      <c r="W454" s="22"/>
      <c r="X454" s="22"/>
      <c r="Y454" s="22"/>
      <c r="Z454" s="22"/>
      <c r="AA454" s="22"/>
      <c r="AB454" s="22"/>
    </row>
    <row r="455" spans="1:28" x14ac:dyDescent="0.3">
      <c r="A455" s="22"/>
      <c r="B455" s="22"/>
      <c r="C455" s="22"/>
      <c r="D455" s="22"/>
      <c r="E455" s="22"/>
      <c r="F455" s="22"/>
      <c r="G455" s="22"/>
      <c r="H455" s="22"/>
      <c r="I455" s="22"/>
      <c r="J455" s="22"/>
      <c r="K455" s="22"/>
      <c r="L455" s="22"/>
      <c r="M455" s="22"/>
      <c r="N455" s="22"/>
      <c r="O455" s="16"/>
      <c r="P455" s="22"/>
      <c r="Q455" s="27"/>
      <c r="R455" s="22"/>
      <c r="S455" s="22"/>
      <c r="T455" s="22"/>
      <c r="U455" s="22"/>
      <c r="V455" s="22"/>
      <c r="W455" s="22"/>
      <c r="X455" s="22"/>
      <c r="Y455" s="22"/>
      <c r="Z455" s="22"/>
      <c r="AA455" s="22"/>
      <c r="AB455" s="22"/>
    </row>
    <row r="456" spans="1:28" x14ac:dyDescent="0.3">
      <c r="A456" s="22"/>
      <c r="B456" s="22"/>
      <c r="C456" s="22"/>
      <c r="D456" s="22"/>
      <c r="E456" s="22"/>
      <c r="F456" s="22"/>
      <c r="G456" s="22"/>
      <c r="H456" s="22"/>
      <c r="I456" s="22"/>
      <c r="J456" s="22"/>
      <c r="K456" s="22"/>
      <c r="L456" s="22"/>
      <c r="M456" s="22"/>
      <c r="N456" s="22"/>
      <c r="O456" s="16"/>
      <c r="P456" s="22"/>
      <c r="Q456" s="27"/>
      <c r="R456" s="22"/>
      <c r="S456" s="22"/>
      <c r="T456" s="22"/>
      <c r="U456" s="22"/>
      <c r="V456" s="22"/>
      <c r="W456" s="22"/>
      <c r="X456" s="22"/>
      <c r="Y456" s="22"/>
      <c r="Z456" s="22"/>
      <c r="AA456" s="22"/>
      <c r="AB456" s="22"/>
    </row>
    <row r="457" spans="1:28" x14ac:dyDescent="0.3">
      <c r="A457" s="22"/>
      <c r="B457" s="22"/>
      <c r="C457" s="22"/>
      <c r="D457" s="22"/>
      <c r="E457" s="22"/>
      <c r="F457" s="22"/>
      <c r="G457" s="22"/>
      <c r="H457" s="22"/>
      <c r="I457" s="22"/>
      <c r="J457" s="22"/>
      <c r="K457" s="22"/>
      <c r="L457" s="22"/>
      <c r="M457" s="22"/>
      <c r="N457" s="22"/>
      <c r="O457" s="16"/>
      <c r="P457" s="22"/>
      <c r="Q457" s="27"/>
      <c r="R457" s="22"/>
      <c r="S457" s="22"/>
      <c r="T457" s="22"/>
      <c r="U457" s="22"/>
      <c r="V457" s="22"/>
      <c r="W457" s="22"/>
      <c r="X457" s="22"/>
      <c r="Y457" s="22"/>
      <c r="Z457" s="22"/>
      <c r="AA457" s="22"/>
      <c r="AB457" s="22"/>
    </row>
    <row r="458" spans="1:28" x14ac:dyDescent="0.3">
      <c r="A458" s="22"/>
      <c r="B458" s="22"/>
      <c r="C458" s="22"/>
      <c r="D458" s="22"/>
      <c r="E458" s="22"/>
      <c r="F458" s="22"/>
      <c r="G458" s="22"/>
      <c r="H458" s="22"/>
      <c r="I458" s="22"/>
      <c r="J458" s="22"/>
      <c r="K458" s="22"/>
      <c r="L458" s="22"/>
      <c r="M458" s="22"/>
      <c r="N458" s="22"/>
      <c r="O458" s="16"/>
      <c r="P458" s="22"/>
      <c r="Q458" s="27"/>
      <c r="R458" s="22"/>
      <c r="S458" s="22"/>
      <c r="T458" s="22"/>
      <c r="U458" s="22"/>
      <c r="V458" s="22"/>
      <c r="W458" s="22"/>
      <c r="X458" s="22"/>
      <c r="Y458" s="22"/>
      <c r="Z458" s="22"/>
      <c r="AA458" s="22"/>
      <c r="AB458" s="22"/>
    </row>
    <row r="459" spans="1:28" x14ac:dyDescent="0.3">
      <c r="A459" s="22"/>
      <c r="B459" s="22"/>
      <c r="C459" s="22"/>
      <c r="D459" s="22"/>
      <c r="E459" s="22"/>
      <c r="F459" s="22"/>
      <c r="G459" s="22"/>
      <c r="H459" s="22"/>
      <c r="I459" s="22"/>
      <c r="J459" s="22"/>
      <c r="K459" s="22"/>
      <c r="L459" s="22"/>
      <c r="M459" s="22"/>
      <c r="N459" s="22"/>
      <c r="O459" s="16"/>
      <c r="P459" s="22"/>
      <c r="Q459" s="27"/>
      <c r="R459" s="22"/>
      <c r="S459" s="22"/>
      <c r="T459" s="22"/>
      <c r="U459" s="22"/>
      <c r="V459" s="22"/>
      <c r="W459" s="22"/>
      <c r="X459" s="22"/>
      <c r="Y459" s="22"/>
      <c r="Z459" s="22"/>
      <c r="AA459" s="22"/>
      <c r="AB459" s="22"/>
    </row>
    <row r="460" spans="1:28" x14ac:dyDescent="0.3">
      <c r="A460" s="22"/>
      <c r="B460" s="22"/>
      <c r="C460" s="22"/>
      <c r="D460" s="22"/>
      <c r="E460" s="22"/>
      <c r="F460" s="22"/>
      <c r="G460" s="22"/>
      <c r="H460" s="22"/>
      <c r="I460" s="22"/>
      <c r="J460" s="22"/>
      <c r="K460" s="22"/>
      <c r="L460" s="22"/>
      <c r="M460" s="22"/>
      <c r="N460" s="22"/>
      <c r="O460" s="16"/>
      <c r="P460" s="22"/>
      <c r="Q460" s="27"/>
      <c r="R460" s="22"/>
      <c r="S460" s="22"/>
      <c r="T460" s="22"/>
      <c r="U460" s="22"/>
      <c r="V460" s="22"/>
      <c r="W460" s="22"/>
      <c r="X460" s="22"/>
      <c r="Y460" s="22"/>
      <c r="Z460" s="22"/>
      <c r="AA460" s="22"/>
      <c r="AB460" s="22"/>
    </row>
    <row r="461" spans="1:28" x14ac:dyDescent="0.3">
      <c r="A461" s="22"/>
      <c r="B461" s="22"/>
      <c r="C461" s="22"/>
      <c r="D461" s="22"/>
      <c r="E461" s="22"/>
      <c r="F461" s="22"/>
      <c r="G461" s="22"/>
      <c r="H461" s="22"/>
      <c r="I461" s="22"/>
      <c r="J461" s="22"/>
      <c r="K461" s="22"/>
      <c r="L461" s="22"/>
      <c r="M461" s="22"/>
      <c r="N461" s="22"/>
      <c r="O461" s="16"/>
      <c r="P461" s="22"/>
      <c r="Q461" s="27"/>
      <c r="R461" s="22"/>
      <c r="S461" s="22"/>
      <c r="T461" s="22"/>
      <c r="U461" s="22"/>
      <c r="V461" s="22"/>
      <c r="W461" s="22"/>
      <c r="X461" s="22"/>
      <c r="Y461" s="22"/>
      <c r="Z461" s="22"/>
      <c r="AA461" s="22"/>
      <c r="AB461" s="22"/>
    </row>
    <row r="462" spans="1:28" x14ac:dyDescent="0.3">
      <c r="A462" s="22"/>
      <c r="B462" s="22"/>
      <c r="C462" s="22"/>
      <c r="D462" s="22"/>
      <c r="E462" s="22"/>
      <c r="F462" s="22"/>
      <c r="G462" s="22"/>
      <c r="H462" s="22"/>
      <c r="I462" s="22"/>
      <c r="J462" s="22"/>
      <c r="K462" s="22"/>
      <c r="L462" s="22"/>
      <c r="M462" s="22"/>
      <c r="N462" s="22"/>
      <c r="O462" s="16"/>
      <c r="P462" s="22"/>
      <c r="Q462" s="27"/>
      <c r="R462" s="22"/>
      <c r="S462" s="22"/>
      <c r="T462" s="22"/>
      <c r="U462" s="22"/>
      <c r="V462" s="22"/>
      <c r="W462" s="22"/>
      <c r="X462" s="22"/>
      <c r="Y462" s="22"/>
      <c r="Z462" s="22"/>
      <c r="AA462" s="22"/>
      <c r="AB462" s="22"/>
    </row>
    <row r="463" spans="1:28" x14ac:dyDescent="0.3">
      <c r="A463" s="22"/>
      <c r="B463" s="22"/>
      <c r="C463" s="22"/>
      <c r="D463" s="22"/>
      <c r="E463" s="22"/>
      <c r="F463" s="22"/>
      <c r="G463" s="22"/>
      <c r="H463" s="22"/>
      <c r="I463" s="22"/>
      <c r="J463" s="22"/>
      <c r="K463" s="22"/>
      <c r="L463" s="22"/>
      <c r="M463" s="22"/>
      <c r="N463" s="22"/>
      <c r="O463" s="16"/>
      <c r="P463" s="22"/>
      <c r="Q463" s="27"/>
      <c r="R463" s="22"/>
      <c r="S463" s="22"/>
      <c r="T463" s="22"/>
      <c r="U463" s="22"/>
      <c r="V463" s="22"/>
      <c r="W463" s="22"/>
      <c r="X463" s="22"/>
      <c r="Y463" s="22"/>
      <c r="Z463" s="22"/>
      <c r="AA463" s="22"/>
      <c r="AB463" s="22"/>
    </row>
    <row r="464" spans="1:28" x14ac:dyDescent="0.3">
      <c r="A464" s="22"/>
      <c r="B464" s="22"/>
      <c r="C464" s="22"/>
      <c r="D464" s="22"/>
      <c r="E464" s="22"/>
      <c r="F464" s="22"/>
      <c r="G464" s="22"/>
      <c r="H464" s="22"/>
      <c r="I464" s="22"/>
      <c r="J464" s="22"/>
      <c r="K464" s="22"/>
      <c r="L464" s="22"/>
      <c r="M464" s="22"/>
      <c r="N464" s="22"/>
      <c r="O464" s="16"/>
      <c r="P464" s="22"/>
      <c r="Q464" s="27"/>
      <c r="R464" s="22"/>
      <c r="S464" s="22"/>
      <c r="T464" s="22"/>
      <c r="U464" s="22"/>
      <c r="V464" s="22"/>
      <c r="W464" s="22"/>
      <c r="X464" s="22"/>
      <c r="Y464" s="22"/>
      <c r="Z464" s="22"/>
      <c r="AA464" s="22"/>
      <c r="AB464" s="22"/>
    </row>
    <row r="465" spans="1:28" x14ac:dyDescent="0.3">
      <c r="A465" s="22"/>
      <c r="B465" s="22"/>
      <c r="C465" s="22"/>
      <c r="D465" s="22"/>
      <c r="E465" s="22"/>
      <c r="F465" s="22"/>
      <c r="G465" s="22"/>
      <c r="H465" s="22"/>
      <c r="I465" s="22"/>
      <c r="J465" s="22"/>
      <c r="K465" s="22"/>
      <c r="L465" s="22"/>
      <c r="M465" s="22"/>
      <c r="N465" s="22"/>
      <c r="O465" s="16"/>
      <c r="P465" s="22"/>
      <c r="Q465" s="27"/>
      <c r="R465" s="22"/>
      <c r="S465" s="22"/>
      <c r="T465" s="22"/>
      <c r="U465" s="22"/>
      <c r="V465" s="22"/>
      <c r="W465" s="22"/>
      <c r="X465" s="22"/>
      <c r="Y465" s="22"/>
      <c r="Z465" s="22"/>
      <c r="AA465" s="22"/>
      <c r="AB465" s="22"/>
    </row>
    <row r="466" spans="1:28" x14ac:dyDescent="0.3">
      <c r="A466" s="22"/>
      <c r="B466" s="22"/>
      <c r="C466" s="22"/>
      <c r="D466" s="22"/>
      <c r="E466" s="22"/>
      <c r="F466" s="22"/>
      <c r="G466" s="22"/>
      <c r="H466" s="22"/>
      <c r="I466" s="22"/>
      <c r="J466" s="22"/>
      <c r="K466" s="22"/>
      <c r="L466" s="22"/>
      <c r="M466" s="22"/>
      <c r="N466" s="22"/>
      <c r="O466" s="22"/>
      <c r="P466" s="22"/>
      <c r="Q466" s="27"/>
      <c r="R466" s="22"/>
      <c r="S466" s="22"/>
      <c r="T466" s="22"/>
      <c r="U466" s="22"/>
      <c r="V466" s="22"/>
      <c r="W466" s="22"/>
      <c r="X466" s="22"/>
      <c r="Y466" s="22"/>
      <c r="Z466" s="22"/>
      <c r="AA466" s="22"/>
      <c r="AB466" s="22"/>
    </row>
    <row r="467" spans="1:28" x14ac:dyDescent="0.3">
      <c r="A467" s="22"/>
      <c r="B467" s="22"/>
      <c r="C467" s="22"/>
      <c r="D467" s="22"/>
      <c r="E467" s="22"/>
      <c r="F467" s="22"/>
      <c r="G467" s="22"/>
      <c r="H467" s="22"/>
      <c r="I467" s="22"/>
      <c r="J467" s="22"/>
      <c r="K467" s="22"/>
      <c r="L467" s="22"/>
      <c r="M467" s="22"/>
      <c r="N467" s="22"/>
      <c r="O467" s="22"/>
      <c r="P467" s="22"/>
      <c r="Q467" s="27"/>
      <c r="R467" s="22"/>
      <c r="S467" s="22"/>
      <c r="T467" s="22"/>
      <c r="U467" s="22"/>
      <c r="V467" s="22"/>
      <c r="W467" s="22"/>
      <c r="X467" s="22"/>
      <c r="Y467" s="22"/>
      <c r="Z467" s="22"/>
      <c r="AA467" s="22"/>
      <c r="AB467" s="22"/>
    </row>
    <row r="468" spans="1:28" x14ac:dyDescent="0.3">
      <c r="A468" s="22"/>
      <c r="B468" s="22"/>
      <c r="C468" s="22"/>
      <c r="D468" s="22"/>
      <c r="E468" s="22"/>
      <c r="F468" s="22"/>
      <c r="G468" s="22"/>
      <c r="H468" s="22"/>
      <c r="I468" s="22"/>
      <c r="J468" s="22"/>
      <c r="K468" s="22"/>
      <c r="L468" s="22"/>
      <c r="M468" s="22"/>
      <c r="N468" s="22"/>
      <c r="O468" s="22"/>
      <c r="P468" s="22"/>
      <c r="Q468" s="27"/>
      <c r="R468" s="22"/>
      <c r="S468" s="22"/>
      <c r="T468" s="22"/>
      <c r="U468" s="22"/>
      <c r="V468" s="22"/>
      <c r="W468" s="22"/>
      <c r="X468" s="22"/>
      <c r="Y468" s="22"/>
      <c r="Z468" s="22"/>
      <c r="AA468" s="22"/>
      <c r="AB468" s="22"/>
    </row>
    <row r="469" spans="1:28" x14ac:dyDescent="0.3">
      <c r="A469" s="22"/>
      <c r="B469" s="22"/>
      <c r="C469" s="22"/>
      <c r="D469" s="22"/>
      <c r="E469" s="22"/>
      <c r="F469" s="22"/>
      <c r="G469" s="22"/>
      <c r="H469" s="22"/>
      <c r="I469" s="22"/>
      <c r="J469" s="22"/>
      <c r="K469" s="22"/>
      <c r="L469" s="22"/>
      <c r="M469" s="22"/>
      <c r="N469" s="22"/>
      <c r="O469" s="22"/>
      <c r="P469" s="22"/>
      <c r="Q469" s="27"/>
      <c r="R469" s="22"/>
      <c r="S469" s="22"/>
      <c r="T469" s="22"/>
      <c r="U469" s="22"/>
      <c r="V469" s="22"/>
      <c r="W469" s="22"/>
      <c r="X469" s="22"/>
      <c r="Y469" s="22"/>
      <c r="Z469" s="22"/>
      <c r="AA469" s="22"/>
      <c r="AB469" s="22"/>
    </row>
    <row r="470" spans="1:28" x14ac:dyDescent="0.3">
      <c r="A470" s="22"/>
      <c r="B470" s="22"/>
      <c r="C470" s="22"/>
      <c r="D470" s="22"/>
      <c r="E470" s="22"/>
      <c r="F470" s="22"/>
      <c r="G470" s="22"/>
      <c r="H470" s="22"/>
      <c r="I470" s="22"/>
      <c r="J470" s="22"/>
      <c r="K470" s="22"/>
      <c r="L470" s="22"/>
      <c r="M470" s="22"/>
      <c r="N470" s="22"/>
      <c r="O470" s="22"/>
      <c r="P470" s="22"/>
      <c r="Q470" s="27"/>
      <c r="R470" s="22"/>
      <c r="S470" s="22"/>
      <c r="T470" s="22"/>
      <c r="U470" s="22"/>
      <c r="V470" s="22"/>
      <c r="W470" s="22"/>
      <c r="X470" s="22"/>
      <c r="Y470" s="22"/>
      <c r="Z470" s="22"/>
      <c r="AA470" s="22"/>
      <c r="AB470" s="22"/>
    </row>
    <row r="471" spans="1:28" x14ac:dyDescent="0.3">
      <c r="A471" s="22"/>
      <c r="B471" s="22"/>
      <c r="C471" s="22"/>
      <c r="D471" s="22"/>
      <c r="E471" s="22"/>
      <c r="F471" s="22"/>
      <c r="G471" s="22"/>
      <c r="H471" s="22"/>
      <c r="I471" s="22"/>
      <c r="J471" s="22"/>
      <c r="K471" s="22"/>
      <c r="L471" s="22"/>
      <c r="M471" s="22"/>
      <c r="N471" s="22"/>
      <c r="O471" s="22"/>
      <c r="P471" s="22"/>
      <c r="Q471" s="27"/>
      <c r="R471" s="22"/>
      <c r="S471" s="22"/>
      <c r="T471" s="22"/>
      <c r="U471" s="22"/>
      <c r="V471" s="22"/>
      <c r="W471" s="22"/>
      <c r="X471" s="22"/>
      <c r="Y471" s="22"/>
      <c r="Z471" s="22"/>
      <c r="AA471" s="22"/>
      <c r="AB471" s="22"/>
    </row>
    <row r="472" spans="1:28" x14ac:dyDescent="0.3">
      <c r="A472" s="22"/>
      <c r="B472" s="22"/>
      <c r="C472" s="22"/>
      <c r="D472" s="22"/>
      <c r="E472" s="22"/>
      <c r="F472" s="22"/>
      <c r="G472" s="22"/>
      <c r="H472" s="22"/>
      <c r="I472" s="22"/>
      <c r="J472" s="22"/>
      <c r="K472" s="22"/>
      <c r="L472" s="22"/>
      <c r="M472" s="22"/>
      <c r="N472" s="22"/>
      <c r="O472" s="22"/>
      <c r="P472" s="22"/>
      <c r="Q472" s="27"/>
      <c r="R472" s="22"/>
      <c r="S472" s="22"/>
      <c r="T472" s="22"/>
      <c r="U472" s="22"/>
      <c r="V472" s="22"/>
      <c r="W472" s="22"/>
      <c r="X472" s="22"/>
      <c r="Y472" s="22"/>
      <c r="Z472" s="22"/>
      <c r="AA472" s="22"/>
      <c r="AB472" s="22"/>
    </row>
    <row r="473" spans="1:28" x14ac:dyDescent="0.3">
      <c r="A473" s="22"/>
      <c r="B473" s="22"/>
      <c r="C473" s="22"/>
      <c r="D473" s="22"/>
      <c r="E473" s="22"/>
      <c r="F473" s="22"/>
      <c r="G473" s="22"/>
      <c r="H473" s="22"/>
      <c r="I473" s="22"/>
      <c r="J473" s="22"/>
      <c r="K473" s="22"/>
      <c r="L473" s="22"/>
      <c r="M473" s="22"/>
      <c r="N473" s="22"/>
      <c r="O473" s="22"/>
      <c r="P473" s="22"/>
      <c r="Q473" s="27"/>
      <c r="R473" s="22"/>
      <c r="S473" s="22"/>
      <c r="T473" s="22"/>
      <c r="U473" s="22"/>
      <c r="V473" s="22"/>
      <c r="W473" s="22"/>
      <c r="X473" s="22"/>
      <c r="Y473" s="22"/>
      <c r="Z473" s="22"/>
      <c r="AA473" s="22"/>
      <c r="AB473" s="22"/>
    </row>
    <row r="474" spans="1:28" x14ac:dyDescent="0.3">
      <c r="A474" s="22"/>
      <c r="B474" s="22"/>
      <c r="C474" s="22"/>
      <c r="D474" s="22"/>
      <c r="E474" s="22"/>
      <c r="F474" s="22"/>
      <c r="G474" s="22"/>
      <c r="H474" s="22"/>
      <c r="I474" s="22"/>
      <c r="J474" s="22"/>
      <c r="K474" s="22"/>
      <c r="L474" s="22"/>
      <c r="M474" s="22"/>
      <c r="N474" s="22"/>
      <c r="O474" s="22"/>
      <c r="P474" s="22"/>
      <c r="Q474" s="27"/>
      <c r="R474" s="22"/>
      <c r="S474" s="22"/>
      <c r="T474" s="22"/>
      <c r="U474" s="22"/>
      <c r="V474" s="22"/>
      <c r="W474" s="22"/>
      <c r="X474" s="22"/>
      <c r="Y474" s="22"/>
      <c r="Z474" s="22"/>
      <c r="AA474" s="22"/>
      <c r="AB474" s="22"/>
    </row>
    <row r="475" spans="1:28" x14ac:dyDescent="0.3">
      <c r="A475" s="22"/>
      <c r="B475" s="22"/>
      <c r="C475" s="22"/>
      <c r="D475" s="22"/>
      <c r="E475" s="22"/>
      <c r="F475" s="22"/>
      <c r="G475" s="22"/>
      <c r="H475" s="22"/>
      <c r="I475" s="22"/>
      <c r="J475" s="22"/>
      <c r="K475" s="22"/>
      <c r="L475" s="22"/>
      <c r="M475" s="22"/>
      <c r="N475" s="22"/>
      <c r="O475" s="22"/>
      <c r="P475" s="22"/>
      <c r="Q475" s="27"/>
      <c r="R475" s="22"/>
      <c r="S475" s="22"/>
      <c r="T475" s="22"/>
      <c r="U475" s="22"/>
      <c r="V475" s="22"/>
      <c r="W475" s="22"/>
      <c r="X475" s="22"/>
      <c r="Y475" s="22"/>
      <c r="Z475" s="22"/>
      <c r="AA475" s="22"/>
      <c r="AB475" s="22"/>
    </row>
    <row r="476" spans="1:28" x14ac:dyDescent="0.3">
      <c r="A476" s="22"/>
      <c r="B476" s="22"/>
      <c r="C476" s="22"/>
      <c r="D476" s="22"/>
      <c r="E476" s="22"/>
      <c r="F476" s="22"/>
      <c r="G476" s="22"/>
      <c r="H476" s="22"/>
      <c r="I476" s="22"/>
      <c r="J476" s="22"/>
      <c r="K476" s="22"/>
      <c r="L476" s="22"/>
      <c r="M476" s="22"/>
      <c r="N476" s="22"/>
      <c r="O476" s="22"/>
      <c r="P476" s="22"/>
      <c r="Q476" s="27"/>
      <c r="R476" s="22"/>
      <c r="S476" s="22"/>
      <c r="T476" s="22"/>
      <c r="U476" s="22"/>
      <c r="V476" s="22"/>
      <c r="W476" s="22"/>
      <c r="X476" s="22"/>
      <c r="Y476" s="22"/>
      <c r="Z476" s="22"/>
      <c r="AA476" s="22"/>
      <c r="AB476" s="22"/>
    </row>
    <row r="477" spans="1:28" x14ac:dyDescent="0.3">
      <c r="A477" s="22"/>
      <c r="B477" s="22"/>
      <c r="C477" s="22"/>
      <c r="D477" s="22"/>
      <c r="E477" s="22"/>
      <c r="F477" s="22"/>
      <c r="G477" s="22"/>
      <c r="H477" s="22"/>
      <c r="I477" s="22"/>
      <c r="J477" s="22"/>
      <c r="K477" s="22"/>
      <c r="L477" s="22"/>
      <c r="M477" s="22"/>
      <c r="N477" s="22"/>
      <c r="O477" s="22"/>
      <c r="P477" s="22"/>
      <c r="Q477" s="27"/>
      <c r="R477" s="22"/>
      <c r="S477" s="22"/>
      <c r="T477" s="22"/>
      <c r="U477" s="22"/>
      <c r="V477" s="22"/>
      <c r="W477" s="22"/>
      <c r="X477" s="22"/>
      <c r="Y477" s="22"/>
      <c r="Z477" s="22"/>
      <c r="AA477" s="22"/>
      <c r="AB477" s="22"/>
    </row>
    <row r="478" spans="1:28" x14ac:dyDescent="0.3">
      <c r="A478" s="22"/>
      <c r="B478" s="22"/>
      <c r="C478" s="22"/>
      <c r="D478" s="22"/>
      <c r="E478" s="22"/>
      <c r="F478" s="22"/>
      <c r="G478" s="22"/>
      <c r="H478" s="22"/>
      <c r="I478" s="22"/>
      <c r="J478" s="22"/>
      <c r="K478" s="22"/>
      <c r="L478" s="22"/>
      <c r="M478" s="22"/>
      <c r="N478" s="22"/>
      <c r="O478" s="22"/>
      <c r="P478" s="22"/>
      <c r="Q478" s="27"/>
      <c r="R478" s="22"/>
      <c r="S478" s="22"/>
      <c r="T478" s="22"/>
      <c r="U478" s="22"/>
      <c r="V478" s="22"/>
      <c r="W478" s="22"/>
      <c r="X478" s="22"/>
      <c r="Y478" s="22"/>
      <c r="Z478" s="22"/>
      <c r="AA478" s="22"/>
      <c r="AB478" s="22"/>
    </row>
    <row r="479" spans="1:28" x14ac:dyDescent="0.3">
      <c r="A479" s="22"/>
      <c r="B479" s="22"/>
      <c r="C479" s="22"/>
      <c r="D479" s="22"/>
      <c r="E479" s="22"/>
      <c r="F479" s="22"/>
      <c r="G479" s="22"/>
      <c r="H479" s="22"/>
      <c r="I479" s="22"/>
      <c r="J479" s="22"/>
      <c r="K479" s="22"/>
      <c r="L479" s="22"/>
      <c r="M479" s="22"/>
      <c r="N479" s="22"/>
      <c r="O479" s="22"/>
      <c r="P479" s="22"/>
      <c r="Q479" s="27"/>
      <c r="R479" s="22"/>
      <c r="S479" s="22"/>
      <c r="T479" s="22"/>
      <c r="U479" s="22"/>
      <c r="V479" s="22"/>
      <c r="W479" s="22"/>
      <c r="X479" s="22"/>
      <c r="Y479" s="22"/>
      <c r="Z479" s="22"/>
      <c r="AA479" s="22"/>
      <c r="AB479" s="22"/>
    </row>
    <row r="480" spans="1:28" x14ac:dyDescent="0.3">
      <c r="A480" s="22"/>
      <c r="B480" s="22"/>
      <c r="C480" s="22"/>
      <c r="D480" s="22"/>
      <c r="E480" s="22"/>
      <c r="F480" s="22"/>
      <c r="G480" s="22"/>
      <c r="H480" s="22"/>
      <c r="I480" s="22"/>
      <c r="J480" s="22"/>
      <c r="K480" s="22"/>
      <c r="L480" s="22"/>
      <c r="M480" s="22"/>
      <c r="N480" s="22"/>
      <c r="O480" s="22"/>
      <c r="P480" s="22"/>
      <c r="Q480" s="27"/>
      <c r="R480" s="22"/>
      <c r="S480" s="22"/>
      <c r="T480" s="22"/>
      <c r="U480" s="22"/>
      <c r="V480" s="22"/>
      <c r="W480" s="22"/>
      <c r="X480" s="22"/>
      <c r="Y480" s="22"/>
      <c r="Z480" s="22"/>
      <c r="AA480" s="22"/>
      <c r="AB480" s="22"/>
    </row>
    <row r="481" spans="1:28" x14ac:dyDescent="0.3">
      <c r="A481" s="22"/>
      <c r="B481" s="22"/>
      <c r="C481" s="22"/>
      <c r="D481" s="22"/>
      <c r="E481" s="22"/>
      <c r="F481" s="22"/>
      <c r="G481" s="22"/>
      <c r="H481" s="22"/>
      <c r="I481" s="22"/>
      <c r="J481" s="22"/>
      <c r="K481" s="22"/>
      <c r="L481" s="22"/>
      <c r="M481" s="22"/>
      <c r="N481" s="22"/>
      <c r="O481" s="22"/>
      <c r="P481" s="22"/>
      <c r="Q481" s="27"/>
      <c r="R481" s="22"/>
      <c r="S481" s="22"/>
      <c r="T481" s="22"/>
      <c r="U481" s="22"/>
      <c r="V481" s="22"/>
      <c r="W481" s="22"/>
      <c r="X481" s="22"/>
      <c r="Y481" s="22"/>
      <c r="Z481" s="22"/>
      <c r="AA481" s="22"/>
      <c r="AB481" s="22"/>
    </row>
    <row r="482" spans="1:28" x14ac:dyDescent="0.3">
      <c r="A482" s="22"/>
      <c r="B482" s="22"/>
      <c r="C482" s="22"/>
      <c r="D482" s="22"/>
      <c r="E482" s="22"/>
      <c r="F482" s="22"/>
      <c r="G482" s="22"/>
      <c r="H482" s="22"/>
      <c r="I482" s="22"/>
      <c r="J482" s="22"/>
      <c r="K482" s="22"/>
      <c r="L482" s="22"/>
      <c r="M482" s="22"/>
      <c r="N482" s="22"/>
      <c r="O482" s="22"/>
      <c r="P482" s="22"/>
      <c r="Q482" s="27"/>
      <c r="R482" s="22"/>
      <c r="S482" s="22"/>
      <c r="T482" s="22"/>
      <c r="U482" s="22"/>
      <c r="V482" s="22"/>
      <c r="W482" s="22"/>
      <c r="X482" s="22"/>
      <c r="Y482" s="22"/>
      <c r="Z482" s="22"/>
      <c r="AA482" s="22"/>
      <c r="AB482" s="22"/>
    </row>
    <row r="483" spans="1:28" x14ac:dyDescent="0.3">
      <c r="A483" s="22"/>
      <c r="B483" s="22"/>
      <c r="C483" s="22"/>
      <c r="D483" s="22"/>
      <c r="E483" s="22"/>
      <c r="F483" s="22"/>
      <c r="G483" s="22"/>
      <c r="H483" s="22"/>
      <c r="I483" s="22"/>
      <c r="J483" s="22"/>
      <c r="K483" s="22"/>
      <c r="L483" s="22"/>
      <c r="M483" s="22"/>
      <c r="N483" s="22"/>
      <c r="O483" s="22"/>
      <c r="P483" s="22"/>
      <c r="Q483" s="27"/>
      <c r="R483" s="22"/>
      <c r="S483" s="22"/>
      <c r="T483" s="22"/>
      <c r="U483" s="22"/>
      <c r="V483" s="22"/>
      <c r="W483" s="22"/>
      <c r="X483" s="22"/>
      <c r="Y483" s="22"/>
      <c r="Z483" s="22"/>
      <c r="AA483" s="22"/>
      <c r="AB483" s="22"/>
    </row>
    <row r="484" spans="1:28" x14ac:dyDescent="0.3">
      <c r="A484" s="22"/>
      <c r="B484" s="22"/>
      <c r="C484" s="22"/>
      <c r="D484" s="22"/>
      <c r="E484" s="22"/>
      <c r="F484" s="22"/>
      <c r="G484" s="22"/>
      <c r="H484" s="22"/>
      <c r="I484" s="22"/>
      <c r="J484" s="22"/>
      <c r="K484" s="22"/>
      <c r="L484" s="22"/>
      <c r="M484" s="22"/>
      <c r="N484" s="22"/>
      <c r="O484" s="22"/>
      <c r="P484" s="22"/>
      <c r="Q484" s="27"/>
      <c r="R484" s="22"/>
      <c r="S484" s="22"/>
      <c r="T484" s="22"/>
      <c r="U484" s="22"/>
      <c r="V484" s="22"/>
      <c r="W484" s="22"/>
      <c r="X484" s="22"/>
      <c r="Y484" s="22"/>
      <c r="Z484" s="22"/>
      <c r="AA484" s="22"/>
      <c r="AB484" s="22"/>
    </row>
    <row r="485" spans="1:28" x14ac:dyDescent="0.3">
      <c r="A485" s="22"/>
      <c r="B485" s="22"/>
      <c r="C485" s="22"/>
      <c r="D485" s="22"/>
      <c r="E485" s="22"/>
      <c r="F485" s="22"/>
      <c r="G485" s="22"/>
      <c r="H485" s="22"/>
      <c r="I485" s="22"/>
      <c r="J485" s="22"/>
      <c r="K485" s="22"/>
      <c r="L485" s="22"/>
      <c r="M485" s="22"/>
      <c r="N485" s="22"/>
      <c r="O485" s="22"/>
      <c r="P485" s="22"/>
      <c r="Q485" s="27"/>
      <c r="R485" s="22"/>
      <c r="S485" s="22"/>
      <c r="T485" s="22"/>
      <c r="U485" s="22"/>
      <c r="V485" s="22"/>
      <c r="W485" s="22"/>
      <c r="X485" s="22"/>
      <c r="Y485" s="22"/>
      <c r="Z485" s="22"/>
      <c r="AA485" s="22"/>
      <c r="AB485" s="22"/>
    </row>
    <row r="486" spans="1:28" x14ac:dyDescent="0.3">
      <c r="A486" s="22"/>
      <c r="B486" s="22"/>
      <c r="C486" s="22"/>
      <c r="D486" s="22"/>
      <c r="E486" s="22"/>
      <c r="F486" s="22"/>
      <c r="G486" s="22"/>
      <c r="H486" s="22"/>
      <c r="I486" s="22"/>
      <c r="J486" s="22"/>
      <c r="K486" s="22"/>
      <c r="L486" s="22"/>
      <c r="M486" s="22"/>
      <c r="N486" s="22"/>
      <c r="O486" s="22"/>
      <c r="P486" s="22"/>
      <c r="Q486" s="27"/>
      <c r="R486" s="22"/>
      <c r="S486" s="22"/>
      <c r="T486" s="22"/>
      <c r="U486" s="22"/>
      <c r="V486" s="22"/>
      <c r="W486" s="22"/>
      <c r="X486" s="22"/>
      <c r="Y486" s="22"/>
      <c r="Z486" s="22"/>
      <c r="AA486" s="22"/>
      <c r="AB486" s="22"/>
    </row>
    <row r="487" spans="1:28" x14ac:dyDescent="0.3">
      <c r="A487" s="22"/>
      <c r="B487" s="22"/>
      <c r="C487" s="22"/>
      <c r="D487" s="22"/>
      <c r="E487" s="22"/>
      <c r="F487" s="22"/>
      <c r="G487" s="22"/>
      <c r="H487" s="22"/>
      <c r="I487" s="22"/>
      <c r="J487" s="22"/>
      <c r="K487" s="22"/>
      <c r="L487" s="22"/>
      <c r="M487" s="22"/>
      <c r="N487" s="22"/>
      <c r="O487" s="22"/>
      <c r="P487" s="22"/>
      <c r="Q487" s="27"/>
      <c r="R487" s="22"/>
      <c r="S487" s="22"/>
      <c r="T487" s="22"/>
      <c r="U487" s="22"/>
      <c r="V487" s="22"/>
      <c r="W487" s="22"/>
      <c r="X487" s="22"/>
      <c r="Y487" s="22"/>
      <c r="Z487" s="22"/>
      <c r="AA487" s="22"/>
      <c r="AB487" s="22"/>
    </row>
    <row r="488" spans="1:28" x14ac:dyDescent="0.3">
      <c r="A488" s="22"/>
      <c r="B488" s="22"/>
      <c r="C488" s="22"/>
      <c r="D488" s="22"/>
      <c r="E488" s="22"/>
      <c r="F488" s="22"/>
      <c r="G488" s="22"/>
      <c r="H488" s="22"/>
      <c r="I488" s="22"/>
      <c r="J488" s="22"/>
      <c r="K488" s="22"/>
      <c r="L488" s="22"/>
      <c r="M488" s="22"/>
      <c r="N488" s="22"/>
      <c r="O488" s="22"/>
      <c r="P488" s="22"/>
      <c r="Q488" s="27"/>
      <c r="R488" s="22"/>
      <c r="S488" s="22"/>
      <c r="T488" s="22"/>
      <c r="U488" s="22"/>
      <c r="V488" s="22"/>
      <c r="W488" s="22"/>
      <c r="X488" s="22"/>
      <c r="Y488" s="22"/>
      <c r="Z488" s="22"/>
      <c r="AA488" s="22"/>
      <c r="AB488" s="22"/>
    </row>
    <row r="489" spans="1:28" x14ac:dyDescent="0.3">
      <c r="A489" s="22"/>
      <c r="B489" s="22"/>
      <c r="C489" s="22"/>
      <c r="D489" s="22"/>
      <c r="E489" s="22"/>
      <c r="F489" s="22"/>
      <c r="G489" s="22"/>
      <c r="H489" s="22"/>
      <c r="I489" s="22"/>
      <c r="J489" s="22"/>
      <c r="K489" s="22"/>
      <c r="L489" s="22"/>
      <c r="M489" s="22"/>
      <c r="N489" s="22"/>
      <c r="O489" s="22"/>
      <c r="P489" s="22"/>
      <c r="Q489" s="27"/>
      <c r="R489" s="22"/>
      <c r="S489" s="22"/>
      <c r="T489" s="22"/>
      <c r="U489" s="22"/>
      <c r="V489" s="22"/>
      <c r="W489" s="22"/>
      <c r="X489" s="22"/>
      <c r="Y489" s="22"/>
      <c r="Z489" s="22"/>
      <c r="AA489" s="22"/>
      <c r="AB489" s="22"/>
    </row>
    <row r="490" spans="1:28" x14ac:dyDescent="0.3">
      <c r="A490" s="22"/>
      <c r="B490" s="22"/>
      <c r="C490" s="22"/>
      <c r="D490" s="22"/>
      <c r="E490" s="22"/>
      <c r="F490" s="22"/>
      <c r="G490" s="22"/>
      <c r="H490" s="22"/>
      <c r="I490" s="22"/>
      <c r="J490" s="22"/>
      <c r="K490" s="22"/>
      <c r="L490" s="22"/>
      <c r="M490" s="22"/>
      <c r="N490" s="22"/>
      <c r="O490" s="22"/>
      <c r="P490" s="22"/>
      <c r="Q490" s="27"/>
      <c r="R490" s="22"/>
      <c r="S490" s="22"/>
      <c r="T490" s="22"/>
      <c r="U490" s="22"/>
      <c r="V490" s="22"/>
      <c r="W490" s="22"/>
      <c r="X490" s="22"/>
      <c r="Y490" s="22"/>
      <c r="Z490" s="22"/>
      <c r="AA490" s="22"/>
      <c r="AB490" s="22"/>
    </row>
    <row r="491" spans="1:28" x14ac:dyDescent="0.3">
      <c r="A491" s="22"/>
      <c r="B491" s="22"/>
      <c r="C491" s="22"/>
      <c r="D491" s="22"/>
      <c r="E491" s="22"/>
      <c r="F491" s="22"/>
      <c r="G491" s="22"/>
      <c r="H491" s="22"/>
      <c r="I491" s="22"/>
      <c r="J491" s="22"/>
      <c r="K491" s="22"/>
      <c r="L491" s="22"/>
      <c r="M491" s="22"/>
      <c r="N491" s="22"/>
      <c r="O491" s="22"/>
      <c r="P491" s="22"/>
      <c r="Q491" s="27"/>
      <c r="R491" s="22"/>
      <c r="S491" s="22"/>
      <c r="T491" s="22"/>
      <c r="U491" s="22"/>
      <c r="V491" s="22"/>
      <c r="W491" s="22"/>
      <c r="X491" s="22"/>
      <c r="Y491" s="22"/>
      <c r="Z491" s="22"/>
      <c r="AA491" s="22"/>
      <c r="AB491" s="22"/>
    </row>
    <row r="492" spans="1:28" x14ac:dyDescent="0.3">
      <c r="A492" s="22"/>
      <c r="B492" s="22"/>
      <c r="C492" s="22"/>
      <c r="D492" s="22"/>
      <c r="E492" s="22"/>
      <c r="F492" s="22"/>
      <c r="G492" s="22"/>
      <c r="H492" s="22"/>
      <c r="I492" s="22"/>
      <c r="J492" s="22"/>
      <c r="K492" s="22"/>
      <c r="L492" s="22"/>
      <c r="M492" s="22"/>
      <c r="N492" s="22"/>
      <c r="O492" s="22"/>
      <c r="P492" s="22"/>
      <c r="Q492" s="27"/>
      <c r="R492" s="22"/>
      <c r="S492" s="22"/>
      <c r="T492" s="22"/>
      <c r="U492" s="22"/>
      <c r="V492" s="22"/>
      <c r="W492" s="22"/>
      <c r="X492" s="22"/>
      <c r="Y492" s="22"/>
      <c r="Z492" s="22"/>
      <c r="AA492" s="22"/>
      <c r="AB492" s="22"/>
    </row>
    <row r="493" spans="1:28" x14ac:dyDescent="0.3">
      <c r="A493" s="22"/>
      <c r="B493" s="22"/>
      <c r="C493" s="22"/>
      <c r="D493" s="22"/>
      <c r="E493" s="22"/>
      <c r="F493" s="22"/>
      <c r="G493" s="22"/>
      <c r="H493" s="22"/>
      <c r="I493" s="22"/>
      <c r="J493" s="22"/>
      <c r="K493" s="22"/>
      <c r="L493" s="22"/>
      <c r="M493" s="22"/>
      <c r="N493" s="22"/>
      <c r="O493" s="22"/>
      <c r="P493" s="22"/>
      <c r="Q493" s="27"/>
      <c r="R493" s="22"/>
      <c r="S493" s="22"/>
      <c r="T493" s="22"/>
      <c r="U493" s="22"/>
      <c r="V493" s="22"/>
      <c r="W493" s="22"/>
      <c r="X493" s="22"/>
      <c r="Y493" s="22"/>
      <c r="Z493" s="22"/>
      <c r="AA493" s="22"/>
      <c r="AB493" s="22"/>
    </row>
    <row r="494" spans="1:28" x14ac:dyDescent="0.3">
      <c r="A494" s="22"/>
      <c r="B494" s="22"/>
      <c r="C494" s="22"/>
      <c r="D494" s="22"/>
      <c r="E494" s="22"/>
      <c r="F494" s="22"/>
      <c r="G494" s="22"/>
      <c r="H494" s="22"/>
      <c r="I494" s="22"/>
      <c r="J494" s="22"/>
      <c r="K494" s="22"/>
      <c r="L494" s="22"/>
      <c r="M494" s="22"/>
      <c r="N494" s="22"/>
      <c r="O494" s="22"/>
      <c r="P494" s="22"/>
      <c r="Q494" s="27"/>
      <c r="R494" s="22"/>
      <c r="S494" s="22"/>
      <c r="T494" s="22"/>
      <c r="U494" s="22"/>
      <c r="V494" s="22"/>
      <c r="W494" s="22"/>
      <c r="X494" s="22"/>
      <c r="Y494" s="22"/>
      <c r="Z494" s="22"/>
      <c r="AA494" s="22"/>
      <c r="AB494" s="22"/>
    </row>
    <row r="495" spans="1:28" x14ac:dyDescent="0.3">
      <c r="A495" s="22"/>
      <c r="B495" s="22"/>
      <c r="C495" s="22"/>
      <c r="D495" s="22"/>
      <c r="E495" s="22"/>
      <c r="F495" s="22"/>
      <c r="G495" s="22"/>
      <c r="H495" s="22"/>
      <c r="I495" s="22"/>
      <c r="J495" s="22"/>
      <c r="K495" s="22"/>
      <c r="L495" s="22"/>
      <c r="M495" s="22"/>
      <c r="N495" s="22"/>
      <c r="O495" s="22"/>
      <c r="P495" s="22"/>
      <c r="Q495" s="27"/>
      <c r="R495" s="22"/>
      <c r="S495" s="22"/>
      <c r="T495" s="22"/>
      <c r="U495" s="22"/>
      <c r="V495" s="22"/>
      <c r="W495" s="22"/>
      <c r="X495" s="22"/>
      <c r="Y495" s="22"/>
      <c r="Z495" s="22"/>
      <c r="AA495" s="22"/>
      <c r="AB495" s="22"/>
    </row>
    <row r="496" spans="1:28" x14ac:dyDescent="0.3">
      <c r="A496" s="22"/>
      <c r="B496" s="22"/>
      <c r="C496" s="22"/>
      <c r="D496" s="22"/>
      <c r="E496" s="22"/>
      <c r="F496" s="22"/>
      <c r="G496" s="22"/>
      <c r="H496" s="22"/>
      <c r="I496" s="22"/>
      <c r="J496" s="22"/>
      <c r="K496" s="22"/>
      <c r="L496" s="22"/>
      <c r="M496" s="22"/>
      <c r="N496" s="22"/>
      <c r="O496" s="22"/>
      <c r="P496" s="22"/>
      <c r="Q496" s="27"/>
      <c r="R496" s="22"/>
      <c r="S496" s="22"/>
      <c r="T496" s="22"/>
      <c r="U496" s="22"/>
      <c r="V496" s="22"/>
      <c r="W496" s="22"/>
      <c r="X496" s="22"/>
      <c r="Y496" s="22"/>
      <c r="Z496" s="22"/>
      <c r="AA496" s="22"/>
      <c r="AB496" s="22"/>
    </row>
    <row r="497" spans="1:28" x14ac:dyDescent="0.3">
      <c r="A497" s="22"/>
      <c r="B497" s="22"/>
      <c r="C497" s="22"/>
      <c r="D497" s="22"/>
      <c r="E497" s="22"/>
      <c r="F497" s="22"/>
      <c r="G497" s="22"/>
      <c r="H497" s="22"/>
      <c r="I497" s="22"/>
      <c r="J497" s="22"/>
      <c r="K497" s="22"/>
      <c r="L497" s="22"/>
      <c r="M497" s="22"/>
      <c r="N497" s="22"/>
      <c r="O497" s="22"/>
      <c r="P497" s="22"/>
      <c r="Q497" s="27"/>
      <c r="R497" s="22"/>
      <c r="S497" s="22"/>
      <c r="T497" s="22"/>
      <c r="U497" s="22"/>
      <c r="V497" s="22"/>
      <c r="W497" s="22"/>
      <c r="X497" s="22"/>
      <c r="Y497" s="22"/>
      <c r="Z497" s="22"/>
      <c r="AA497" s="22"/>
      <c r="AB497" s="22"/>
    </row>
    <row r="498" spans="1:28" x14ac:dyDescent="0.3">
      <c r="A498" s="22"/>
      <c r="B498" s="22"/>
      <c r="C498" s="22"/>
      <c r="D498" s="22"/>
      <c r="E498" s="22"/>
      <c r="F498" s="22"/>
      <c r="G498" s="22"/>
      <c r="H498" s="22"/>
      <c r="I498" s="22"/>
      <c r="J498" s="22"/>
      <c r="K498" s="22"/>
      <c r="L498" s="22"/>
      <c r="M498" s="22"/>
      <c r="N498" s="22"/>
      <c r="O498" s="22"/>
      <c r="P498" s="22"/>
      <c r="Q498" s="27"/>
      <c r="R498" s="22"/>
      <c r="S498" s="22"/>
      <c r="T498" s="22"/>
      <c r="U498" s="22"/>
      <c r="V498" s="22"/>
      <c r="W498" s="22"/>
      <c r="X498" s="22"/>
      <c r="Y498" s="22"/>
      <c r="Z498" s="22"/>
      <c r="AA498" s="22"/>
      <c r="AB498" s="22"/>
    </row>
    <row r="499" spans="1:28" x14ac:dyDescent="0.3">
      <c r="A499" s="22"/>
      <c r="B499" s="22"/>
      <c r="C499" s="22"/>
      <c r="D499" s="22"/>
      <c r="E499" s="22"/>
      <c r="F499" s="22"/>
      <c r="G499" s="22"/>
      <c r="H499" s="22"/>
      <c r="I499" s="22"/>
      <c r="J499" s="22"/>
      <c r="K499" s="22"/>
      <c r="L499" s="22"/>
      <c r="M499" s="22"/>
      <c r="N499" s="22"/>
      <c r="O499" s="22"/>
      <c r="P499" s="22"/>
      <c r="Q499" s="27"/>
      <c r="R499" s="22"/>
      <c r="S499" s="22"/>
      <c r="T499" s="22"/>
      <c r="U499" s="22"/>
      <c r="V499" s="22"/>
      <c r="W499" s="22"/>
      <c r="X499" s="22"/>
      <c r="Y499" s="22"/>
      <c r="Z499" s="22"/>
      <c r="AA499" s="22"/>
      <c r="AB499" s="22"/>
    </row>
    <row r="500" spans="1:28" x14ac:dyDescent="0.3">
      <c r="A500" s="22"/>
      <c r="B500" s="22"/>
      <c r="C500" s="22"/>
      <c r="D500" s="22"/>
      <c r="E500" s="22"/>
      <c r="F500" s="22"/>
      <c r="G500" s="22"/>
      <c r="H500" s="22"/>
      <c r="I500" s="22"/>
      <c r="J500" s="22"/>
      <c r="K500" s="22"/>
      <c r="L500" s="22"/>
      <c r="M500" s="22"/>
      <c r="N500" s="22"/>
      <c r="O500" s="22"/>
      <c r="P500" s="22"/>
      <c r="Q500" s="27"/>
      <c r="R500" s="22"/>
      <c r="S500" s="22"/>
      <c r="T500" s="22"/>
      <c r="U500" s="22"/>
      <c r="V500" s="22"/>
      <c r="W500" s="22"/>
      <c r="X500" s="22"/>
      <c r="Y500" s="22"/>
      <c r="Z500" s="22"/>
      <c r="AA500" s="22"/>
      <c r="AB500" s="22"/>
    </row>
    <row r="501" spans="1:28" x14ac:dyDescent="0.3">
      <c r="A501" s="22"/>
      <c r="B501" s="22"/>
      <c r="C501" s="22"/>
      <c r="D501" s="22"/>
      <c r="E501" s="22"/>
      <c r="F501" s="22"/>
      <c r="G501" s="22"/>
      <c r="H501" s="22"/>
      <c r="I501" s="22"/>
      <c r="J501" s="22"/>
      <c r="K501" s="22"/>
      <c r="L501" s="22"/>
      <c r="M501" s="22"/>
      <c r="N501" s="22"/>
      <c r="O501" s="22"/>
      <c r="P501" s="22"/>
      <c r="Q501" s="27"/>
      <c r="R501" s="22"/>
      <c r="S501" s="22"/>
      <c r="T501" s="22"/>
      <c r="U501" s="22"/>
      <c r="V501" s="22"/>
      <c r="W501" s="22"/>
      <c r="X501" s="22"/>
      <c r="Y501" s="22"/>
      <c r="Z501" s="22"/>
      <c r="AA501" s="22"/>
      <c r="AB501" s="22"/>
    </row>
    <row r="502" spans="1:28" x14ac:dyDescent="0.3">
      <c r="A502" s="22"/>
      <c r="B502" s="22"/>
      <c r="C502" s="22"/>
      <c r="D502" s="22"/>
      <c r="E502" s="22"/>
      <c r="F502" s="22"/>
      <c r="G502" s="22"/>
      <c r="H502" s="22"/>
      <c r="I502" s="22"/>
      <c r="J502" s="22"/>
      <c r="K502" s="22"/>
      <c r="L502" s="22"/>
      <c r="M502" s="22"/>
      <c r="N502" s="22"/>
      <c r="O502" s="22"/>
      <c r="P502" s="22"/>
      <c r="Q502" s="27"/>
      <c r="R502" s="22"/>
      <c r="S502" s="22"/>
      <c r="T502" s="22"/>
      <c r="U502" s="22"/>
      <c r="V502" s="22"/>
      <c r="W502" s="22"/>
      <c r="X502" s="22"/>
      <c r="Y502" s="22"/>
      <c r="Z502" s="22"/>
      <c r="AA502" s="22"/>
      <c r="AB502" s="22"/>
    </row>
    <row r="503" spans="1:28" x14ac:dyDescent="0.3">
      <c r="A503" s="22"/>
      <c r="B503" s="22"/>
      <c r="C503" s="22"/>
      <c r="D503" s="22"/>
      <c r="E503" s="22"/>
      <c r="F503" s="22"/>
      <c r="G503" s="22"/>
      <c r="H503" s="22"/>
      <c r="I503" s="22"/>
      <c r="J503" s="22"/>
      <c r="K503" s="22"/>
      <c r="L503" s="22"/>
      <c r="M503" s="22"/>
      <c r="N503" s="22"/>
      <c r="O503" s="22"/>
      <c r="P503" s="22"/>
      <c r="Q503" s="27"/>
      <c r="R503" s="22"/>
      <c r="S503" s="22"/>
      <c r="T503" s="22"/>
      <c r="U503" s="22"/>
      <c r="V503" s="22"/>
      <c r="W503" s="22"/>
      <c r="X503" s="22"/>
      <c r="Y503" s="22"/>
      <c r="Z503" s="22"/>
      <c r="AA503" s="22"/>
      <c r="AB503" s="22"/>
    </row>
    <row r="504" spans="1:28" x14ac:dyDescent="0.3">
      <c r="A504" s="22"/>
      <c r="B504" s="22"/>
      <c r="C504" s="22"/>
      <c r="D504" s="22"/>
      <c r="E504" s="22"/>
      <c r="F504" s="22"/>
      <c r="G504" s="22"/>
      <c r="H504" s="22"/>
      <c r="I504" s="22"/>
      <c r="J504" s="22"/>
      <c r="K504" s="22"/>
      <c r="L504" s="22"/>
      <c r="M504" s="22"/>
      <c r="N504" s="22"/>
      <c r="O504" s="22"/>
      <c r="P504" s="22"/>
      <c r="Q504" s="27"/>
      <c r="R504" s="22"/>
      <c r="S504" s="22"/>
      <c r="T504" s="22"/>
      <c r="U504" s="22"/>
      <c r="V504" s="22"/>
      <c r="W504" s="22"/>
      <c r="X504" s="22"/>
      <c r="Y504" s="22"/>
      <c r="Z504" s="22"/>
      <c r="AA504" s="22"/>
      <c r="AB504" s="22"/>
    </row>
    <row r="505" spans="1:28" x14ac:dyDescent="0.3">
      <c r="A505" s="22"/>
      <c r="B505" s="22"/>
      <c r="C505" s="22"/>
      <c r="D505" s="22"/>
      <c r="E505" s="22"/>
      <c r="F505" s="22"/>
      <c r="G505" s="22"/>
      <c r="H505" s="22"/>
      <c r="I505" s="22"/>
      <c r="J505" s="22"/>
      <c r="K505" s="22"/>
      <c r="L505" s="22"/>
      <c r="M505" s="22"/>
      <c r="N505" s="22"/>
      <c r="O505" s="22"/>
      <c r="P505" s="22"/>
      <c r="Q505" s="27"/>
      <c r="R505" s="22"/>
      <c r="S505" s="22"/>
      <c r="T505" s="22"/>
      <c r="U505" s="22"/>
      <c r="V505" s="22"/>
      <c r="W505" s="22"/>
      <c r="X505" s="22"/>
      <c r="Y505" s="22"/>
      <c r="Z505" s="22"/>
      <c r="AA505" s="22"/>
      <c r="AB505" s="22"/>
    </row>
    <row r="506" spans="1:28" x14ac:dyDescent="0.3">
      <c r="A506" s="22"/>
      <c r="B506" s="22"/>
      <c r="C506" s="22"/>
      <c r="D506" s="22"/>
      <c r="E506" s="22"/>
      <c r="F506" s="22"/>
      <c r="G506" s="22"/>
      <c r="H506" s="22"/>
      <c r="I506" s="22"/>
      <c r="J506" s="22"/>
      <c r="K506" s="22"/>
      <c r="L506" s="22"/>
      <c r="M506" s="22"/>
      <c r="N506" s="22"/>
      <c r="O506" s="22"/>
      <c r="P506" s="22"/>
      <c r="Q506" s="27"/>
      <c r="R506" s="22"/>
      <c r="S506" s="22"/>
      <c r="T506" s="22"/>
      <c r="U506" s="22"/>
      <c r="V506" s="22"/>
      <c r="W506" s="22"/>
      <c r="X506" s="22"/>
      <c r="Y506" s="22"/>
      <c r="Z506" s="22"/>
      <c r="AA506" s="22"/>
      <c r="AB506" s="22"/>
    </row>
    <row r="507" spans="1:28" x14ac:dyDescent="0.3">
      <c r="A507" s="22"/>
      <c r="B507" s="22"/>
      <c r="C507" s="22"/>
      <c r="D507" s="22"/>
      <c r="E507" s="22"/>
      <c r="F507" s="22"/>
      <c r="G507" s="22"/>
      <c r="H507" s="22"/>
      <c r="I507" s="22"/>
      <c r="J507" s="22"/>
      <c r="K507" s="22"/>
      <c r="L507" s="22"/>
      <c r="M507" s="22"/>
      <c r="N507" s="22"/>
      <c r="O507" s="22"/>
      <c r="P507" s="22"/>
      <c r="Q507" s="27"/>
      <c r="R507" s="22"/>
      <c r="S507" s="22"/>
      <c r="T507" s="22"/>
      <c r="U507" s="22"/>
      <c r="V507" s="22"/>
      <c r="W507" s="22"/>
      <c r="X507" s="22"/>
      <c r="Y507" s="22"/>
      <c r="Z507" s="22"/>
      <c r="AA507" s="22"/>
      <c r="AB507" s="22"/>
    </row>
    <row r="508" spans="1:28" x14ac:dyDescent="0.3">
      <c r="A508" s="22"/>
      <c r="B508" s="22"/>
      <c r="C508" s="22"/>
      <c r="D508" s="22"/>
      <c r="E508" s="22"/>
      <c r="F508" s="22"/>
      <c r="G508" s="22"/>
      <c r="H508" s="22"/>
      <c r="I508" s="22"/>
      <c r="J508" s="22"/>
      <c r="K508" s="22"/>
      <c r="L508" s="22"/>
      <c r="M508" s="22"/>
      <c r="N508" s="22"/>
      <c r="O508" s="22"/>
      <c r="P508" s="22"/>
      <c r="Q508" s="27"/>
      <c r="R508" s="22"/>
      <c r="S508" s="22"/>
      <c r="T508" s="22"/>
      <c r="U508" s="22"/>
      <c r="V508" s="22"/>
      <c r="W508" s="22"/>
      <c r="X508" s="22"/>
      <c r="Y508" s="22"/>
      <c r="Z508" s="22"/>
      <c r="AA508" s="22"/>
      <c r="AB508" s="22"/>
    </row>
    <row r="509" spans="1:28" x14ac:dyDescent="0.3">
      <c r="A509" s="22"/>
      <c r="B509" s="22"/>
      <c r="C509" s="22"/>
      <c r="D509" s="22"/>
      <c r="E509" s="22"/>
      <c r="F509" s="22"/>
      <c r="G509" s="22"/>
      <c r="H509" s="22"/>
      <c r="I509" s="22"/>
      <c r="J509" s="22"/>
      <c r="K509" s="22"/>
      <c r="L509" s="22"/>
      <c r="M509" s="22"/>
      <c r="N509" s="22"/>
      <c r="O509" s="22"/>
      <c r="P509" s="22"/>
      <c r="Q509" s="27"/>
      <c r="R509" s="22"/>
      <c r="S509" s="22"/>
      <c r="T509" s="22"/>
      <c r="U509" s="22"/>
      <c r="V509" s="22"/>
      <c r="W509" s="22"/>
      <c r="X509" s="22"/>
      <c r="Y509" s="22"/>
      <c r="Z509" s="22"/>
      <c r="AA509" s="22"/>
      <c r="AB509" s="22"/>
    </row>
    <row r="510" spans="1:28" x14ac:dyDescent="0.3">
      <c r="A510" s="22"/>
      <c r="B510" s="22"/>
      <c r="C510" s="22"/>
      <c r="D510" s="22"/>
      <c r="E510" s="22"/>
      <c r="F510" s="22"/>
      <c r="G510" s="22"/>
      <c r="H510" s="22"/>
      <c r="I510" s="22"/>
      <c r="J510" s="22"/>
      <c r="K510" s="22"/>
      <c r="L510" s="22"/>
      <c r="M510" s="22"/>
      <c r="N510" s="22"/>
      <c r="O510" s="22"/>
      <c r="P510" s="22"/>
      <c r="Q510" s="27"/>
      <c r="R510" s="22"/>
      <c r="S510" s="22"/>
      <c r="T510" s="22"/>
      <c r="U510" s="22"/>
      <c r="V510" s="22"/>
      <c r="W510" s="22"/>
      <c r="X510" s="22"/>
      <c r="Y510" s="22"/>
      <c r="Z510" s="22"/>
      <c r="AA510" s="22"/>
      <c r="AB510" s="22"/>
    </row>
    <row r="511" spans="1:28" x14ac:dyDescent="0.3">
      <c r="A511" s="22"/>
      <c r="B511" s="22"/>
      <c r="C511" s="22"/>
      <c r="D511" s="22"/>
      <c r="E511" s="22"/>
      <c r="F511" s="22"/>
      <c r="G511" s="22"/>
      <c r="H511" s="22"/>
      <c r="I511" s="22"/>
      <c r="J511" s="22"/>
      <c r="K511" s="22"/>
      <c r="L511" s="22"/>
      <c r="M511" s="22"/>
      <c r="N511" s="22"/>
      <c r="O511" s="22"/>
      <c r="P511" s="22"/>
      <c r="Q511" s="27"/>
      <c r="R511" s="22"/>
      <c r="S511" s="22"/>
      <c r="T511" s="22"/>
      <c r="U511" s="22"/>
      <c r="V511" s="22"/>
      <c r="W511" s="22"/>
      <c r="X511" s="22"/>
      <c r="Y511" s="22"/>
      <c r="Z511" s="22"/>
      <c r="AA511" s="22"/>
      <c r="AB511" s="22"/>
    </row>
    <row r="512" spans="1:28" x14ac:dyDescent="0.3">
      <c r="A512" s="22"/>
      <c r="B512" s="22"/>
      <c r="C512" s="22"/>
      <c r="D512" s="22"/>
      <c r="E512" s="22"/>
      <c r="F512" s="22"/>
      <c r="G512" s="22"/>
      <c r="H512" s="22"/>
      <c r="I512" s="22"/>
      <c r="J512" s="22"/>
      <c r="K512" s="22"/>
      <c r="L512" s="22"/>
      <c r="M512" s="22"/>
      <c r="N512" s="22"/>
      <c r="O512" s="22"/>
      <c r="P512" s="22"/>
      <c r="Q512" s="27"/>
      <c r="R512" s="22"/>
      <c r="S512" s="22"/>
      <c r="T512" s="22"/>
      <c r="U512" s="22"/>
      <c r="V512" s="22"/>
      <c r="W512" s="22"/>
      <c r="X512" s="22"/>
      <c r="Y512" s="22"/>
      <c r="Z512" s="22"/>
      <c r="AA512" s="22"/>
      <c r="AB512" s="22"/>
    </row>
    <row r="513" spans="1:28" x14ac:dyDescent="0.3">
      <c r="A513" s="22"/>
      <c r="B513" s="22"/>
      <c r="C513" s="22"/>
      <c r="D513" s="22"/>
      <c r="E513" s="22"/>
      <c r="F513" s="22"/>
      <c r="G513" s="22"/>
      <c r="H513" s="22"/>
      <c r="I513" s="22"/>
      <c r="J513" s="22"/>
      <c r="K513" s="22"/>
      <c r="L513" s="22"/>
      <c r="M513" s="22"/>
      <c r="N513" s="22"/>
      <c r="O513" s="22"/>
      <c r="P513" s="22"/>
      <c r="Q513" s="27"/>
      <c r="R513" s="22"/>
      <c r="S513" s="22"/>
      <c r="T513" s="22"/>
      <c r="U513" s="22"/>
      <c r="V513" s="22"/>
      <c r="W513" s="22"/>
      <c r="X513" s="22"/>
      <c r="Y513" s="22"/>
      <c r="Z513" s="22"/>
      <c r="AA513" s="22"/>
      <c r="AB513" s="22"/>
    </row>
    <row r="514" spans="1:28" x14ac:dyDescent="0.3">
      <c r="A514" s="22"/>
      <c r="B514" s="22"/>
      <c r="C514" s="22"/>
      <c r="D514" s="22"/>
      <c r="E514" s="22"/>
      <c r="F514" s="22"/>
      <c r="G514" s="22"/>
      <c r="H514" s="22"/>
      <c r="I514" s="22"/>
      <c r="J514" s="22"/>
      <c r="K514" s="22"/>
      <c r="L514" s="22"/>
      <c r="M514" s="22"/>
      <c r="N514" s="22"/>
      <c r="O514" s="22"/>
      <c r="P514" s="22"/>
      <c r="Q514" s="27"/>
      <c r="R514" s="22"/>
      <c r="S514" s="22"/>
      <c r="T514" s="22"/>
      <c r="U514" s="22"/>
      <c r="V514" s="22"/>
      <c r="W514" s="22"/>
      <c r="X514" s="22"/>
      <c r="Y514" s="22"/>
      <c r="Z514" s="22"/>
      <c r="AA514" s="22"/>
      <c r="AB514" s="22"/>
    </row>
    <row r="515" spans="1:28" x14ac:dyDescent="0.3">
      <c r="A515" s="22"/>
      <c r="B515" s="22"/>
      <c r="C515" s="22"/>
      <c r="D515" s="22"/>
      <c r="E515" s="22"/>
      <c r="F515" s="22"/>
      <c r="G515" s="22"/>
      <c r="H515" s="22"/>
      <c r="I515" s="22"/>
      <c r="J515" s="22"/>
      <c r="K515" s="22"/>
      <c r="L515" s="22"/>
      <c r="M515" s="22"/>
      <c r="N515" s="22"/>
      <c r="O515" s="22"/>
      <c r="P515" s="22"/>
      <c r="Q515" s="27"/>
      <c r="R515" s="22"/>
      <c r="S515" s="22"/>
      <c r="T515" s="22"/>
      <c r="U515" s="22"/>
      <c r="V515" s="22"/>
      <c r="W515" s="22"/>
      <c r="X515" s="22"/>
      <c r="Y515" s="22"/>
      <c r="Z515" s="22"/>
      <c r="AA515" s="22"/>
      <c r="AB515" s="22"/>
    </row>
    <row r="516" spans="1:28" x14ac:dyDescent="0.3">
      <c r="A516" s="22"/>
      <c r="B516" s="22"/>
      <c r="C516" s="22"/>
      <c r="D516" s="22"/>
      <c r="E516" s="22"/>
      <c r="F516" s="22"/>
      <c r="G516" s="22"/>
      <c r="H516" s="22"/>
      <c r="I516" s="22"/>
      <c r="J516" s="22"/>
      <c r="K516" s="22"/>
      <c r="L516" s="22"/>
      <c r="M516" s="22"/>
      <c r="N516" s="22"/>
      <c r="O516" s="22"/>
      <c r="P516" s="22"/>
      <c r="Q516" s="27"/>
      <c r="R516" s="22"/>
      <c r="S516" s="22"/>
      <c r="T516" s="22"/>
      <c r="U516" s="22"/>
      <c r="V516" s="22"/>
      <c r="W516" s="22"/>
      <c r="X516" s="22"/>
      <c r="Y516" s="22"/>
      <c r="Z516" s="22"/>
      <c r="AA516" s="22"/>
      <c r="AB516" s="22"/>
    </row>
    <row r="517" spans="1:28" x14ac:dyDescent="0.3">
      <c r="A517" s="22"/>
      <c r="B517" s="22"/>
      <c r="C517" s="22"/>
      <c r="D517" s="22"/>
      <c r="E517" s="22"/>
      <c r="F517" s="22"/>
      <c r="G517" s="22"/>
      <c r="H517" s="22"/>
      <c r="I517" s="22"/>
      <c r="J517" s="22"/>
      <c r="K517" s="22"/>
      <c r="L517" s="22"/>
      <c r="M517" s="22"/>
      <c r="N517" s="22"/>
      <c r="O517" s="22"/>
      <c r="P517" s="22"/>
      <c r="Q517" s="27"/>
      <c r="R517" s="22"/>
      <c r="S517" s="22"/>
      <c r="T517" s="22"/>
      <c r="U517" s="22"/>
      <c r="V517" s="22"/>
      <c r="W517" s="22"/>
      <c r="X517" s="22"/>
      <c r="Y517" s="22"/>
      <c r="Z517" s="22"/>
      <c r="AA517" s="22"/>
      <c r="AB517" s="22"/>
    </row>
    <row r="518" spans="1:28" x14ac:dyDescent="0.3">
      <c r="A518" s="22"/>
      <c r="B518" s="22"/>
      <c r="C518" s="22"/>
      <c r="D518" s="22"/>
      <c r="E518" s="22"/>
      <c r="F518" s="22"/>
      <c r="G518" s="22"/>
      <c r="H518" s="22"/>
      <c r="I518" s="22"/>
      <c r="J518" s="22"/>
      <c r="K518" s="22"/>
      <c r="L518" s="22"/>
      <c r="M518" s="22"/>
      <c r="N518" s="22"/>
      <c r="O518" s="22"/>
      <c r="P518" s="22"/>
      <c r="Q518" s="27"/>
      <c r="R518" s="22"/>
      <c r="S518" s="22"/>
      <c r="T518" s="22"/>
      <c r="U518" s="22"/>
      <c r="V518" s="22"/>
      <c r="W518" s="22"/>
      <c r="X518" s="22"/>
      <c r="Y518" s="22"/>
      <c r="Z518" s="22"/>
      <c r="AA518" s="22"/>
      <c r="AB518" s="22"/>
    </row>
    <row r="519" spans="1:28" x14ac:dyDescent="0.3">
      <c r="A519" s="22"/>
      <c r="B519" s="22"/>
      <c r="C519" s="22"/>
      <c r="D519" s="22"/>
      <c r="E519" s="22"/>
      <c r="F519" s="22"/>
      <c r="G519" s="22"/>
      <c r="H519" s="22"/>
      <c r="I519" s="22"/>
      <c r="J519" s="22"/>
      <c r="K519" s="22"/>
      <c r="L519" s="22"/>
      <c r="M519" s="22"/>
      <c r="N519" s="22"/>
      <c r="O519" s="22"/>
      <c r="P519" s="22"/>
      <c r="Q519" s="27"/>
      <c r="R519" s="22"/>
      <c r="S519" s="22"/>
      <c r="T519" s="22"/>
      <c r="U519" s="22"/>
      <c r="V519" s="22"/>
      <c r="W519" s="22"/>
      <c r="X519" s="22"/>
      <c r="Y519" s="22"/>
      <c r="Z519" s="22"/>
      <c r="AA519" s="22"/>
      <c r="AB519" s="22"/>
    </row>
    <row r="520" spans="1:28" x14ac:dyDescent="0.3">
      <c r="A520" s="22"/>
      <c r="B520" s="22"/>
      <c r="C520" s="22"/>
      <c r="D520" s="22"/>
      <c r="E520" s="22"/>
      <c r="F520" s="22"/>
      <c r="G520" s="22"/>
      <c r="H520" s="22"/>
      <c r="I520" s="22"/>
      <c r="J520" s="22"/>
      <c r="K520" s="22"/>
      <c r="L520" s="22"/>
      <c r="M520" s="22"/>
      <c r="N520" s="22"/>
      <c r="O520" s="22"/>
      <c r="P520" s="22"/>
      <c r="Q520" s="27"/>
      <c r="R520" s="22"/>
      <c r="S520" s="22"/>
      <c r="T520" s="22"/>
      <c r="U520" s="22"/>
      <c r="V520" s="22"/>
      <c r="W520" s="22"/>
      <c r="X520" s="22"/>
      <c r="Y520" s="22"/>
      <c r="Z520" s="22"/>
      <c r="AA520" s="22"/>
      <c r="AB520" s="22"/>
    </row>
    <row r="521" spans="1:28" x14ac:dyDescent="0.3">
      <c r="A521" s="22"/>
      <c r="B521" s="22"/>
      <c r="C521" s="22"/>
      <c r="D521" s="22"/>
      <c r="E521" s="22"/>
      <c r="F521" s="22"/>
      <c r="G521" s="22"/>
      <c r="H521" s="22"/>
      <c r="I521" s="22"/>
      <c r="J521" s="22"/>
      <c r="K521" s="22"/>
      <c r="L521" s="22"/>
      <c r="M521" s="22"/>
      <c r="N521" s="22"/>
      <c r="O521" s="22"/>
      <c r="P521" s="22"/>
      <c r="Q521" s="27"/>
      <c r="R521" s="22"/>
      <c r="S521" s="22"/>
      <c r="T521" s="22"/>
      <c r="U521" s="22"/>
      <c r="V521" s="22"/>
      <c r="W521" s="22"/>
      <c r="X521" s="22"/>
      <c r="Y521" s="22"/>
      <c r="Z521" s="22"/>
      <c r="AA521" s="22"/>
      <c r="AB521" s="22"/>
    </row>
    <row r="522" spans="1:28" x14ac:dyDescent="0.3">
      <c r="A522" s="22"/>
      <c r="B522" s="22"/>
      <c r="C522" s="22"/>
      <c r="D522" s="22"/>
      <c r="E522" s="22"/>
      <c r="F522" s="22"/>
      <c r="G522" s="22"/>
      <c r="H522" s="22"/>
      <c r="I522" s="22"/>
      <c r="J522" s="22"/>
      <c r="K522" s="22"/>
      <c r="L522" s="22"/>
      <c r="M522" s="22"/>
      <c r="N522" s="22"/>
      <c r="O522" s="22"/>
      <c r="P522" s="22"/>
      <c r="Q522" s="27"/>
      <c r="R522" s="22"/>
      <c r="S522" s="22"/>
      <c r="T522" s="22"/>
      <c r="U522" s="22"/>
      <c r="V522" s="22"/>
      <c r="W522" s="22"/>
      <c r="X522" s="22"/>
      <c r="Y522" s="22"/>
      <c r="Z522" s="22"/>
      <c r="AA522" s="22"/>
      <c r="AB522" s="22"/>
    </row>
    <row r="523" spans="1:28" x14ac:dyDescent="0.3">
      <c r="A523" s="22"/>
      <c r="B523" s="22"/>
      <c r="C523" s="22"/>
      <c r="D523" s="22"/>
      <c r="E523" s="22"/>
      <c r="F523" s="22"/>
      <c r="G523" s="22"/>
      <c r="H523" s="22"/>
      <c r="I523" s="22"/>
      <c r="J523" s="22"/>
      <c r="K523" s="22"/>
      <c r="L523" s="22"/>
      <c r="M523" s="22"/>
      <c r="N523" s="22"/>
      <c r="O523" s="22"/>
      <c r="P523" s="22"/>
      <c r="Q523" s="27"/>
      <c r="R523" s="22"/>
      <c r="S523" s="22"/>
      <c r="T523" s="22"/>
      <c r="U523" s="22"/>
      <c r="V523" s="22"/>
      <c r="W523" s="22"/>
      <c r="X523" s="22"/>
      <c r="Y523" s="22"/>
      <c r="Z523" s="22"/>
      <c r="AA523" s="22"/>
      <c r="AB523" s="22"/>
    </row>
    <row r="524" spans="1:28" x14ac:dyDescent="0.3">
      <c r="A524" s="22"/>
      <c r="B524" s="22"/>
      <c r="C524" s="22"/>
      <c r="D524" s="22"/>
      <c r="E524" s="22"/>
      <c r="F524" s="22"/>
      <c r="G524" s="22"/>
      <c r="H524" s="22"/>
      <c r="I524" s="22"/>
      <c r="J524" s="22"/>
      <c r="K524" s="22"/>
      <c r="L524" s="22"/>
      <c r="M524" s="22"/>
      <c r="N524" s="22"/>
      <c r="O524" s="22"/>
      <c r="P524" s="22"/>
      <c r="Q524" s="27"/>
      <c r="R524" s="22"/>
      <c r="S524" s="22"/>
      <c r="T524" s="22"/>
      <c r="U524" s="22"/>
      <c r="V524" s="22"/>
      <c r="W524" s="22"/>
      <c r="X524" s="22"/>
      <c r="Y524" s="22"/>
      <c r="Z524" s="22"/>
      <c r="AA524" s="22"/>
      <c r="AB524" s="22"/>
    </row>
    <row r="525" spans="1:28" x14ac:dyDescent="0.3">
      <c r="A525" s="22"/>
      <c r="B525" s="22"/>
      <c r="C525" s="22"/>
      <c r="D525" s="22"/>
      <c r="E525" s="22"/>
      <c r="F525" s="22"/>
      <c r="G525" s="22"/>
      <c r="H525" s="22"/>
      <c r="I525" s="22"/>
      <c r="J525" s="22"/>
      <c r="K525" s="22"/>
      <c r="L525" s="22"/>
      <c r="M525" s="22"/>
      <c r="N525" s="22"/>
      <c r="O525" s="22"/>
      <c r="P525" s="22"/>
      <c r="Q525" s="27"/>
      <c r="R525" s="22"/>
      <c r="S525" s="22"/>
      <c r="T525" s="22"/>
      <c r="U525" s="22"/>
      <c r="V525" s="22"/>
      <c r="W525" s="22"/>
      <c r="X525" s="22"/>
      <c r="Y525" s="22"/>
      <c r="Z525" s="22"/>
      <c r="AA525" s="22"/>
      <c r="AB525" s="22"/>
    </row>
    <row r="526" spans="1:28" x14ac:dyDescent="0.3">
      <c r="A526" s="22"/>
      <c r="B526" s="22"/>
      <c r="C526" s="22"/>
      <c r="D526" s="22"/>
      <c r="E526" s="22"/>
      <c r="F526" s="22"/>
      <c r="G526" s="22"/>
      <c r="H526" s="22"/>
      <c r="I526" s="22"/>
      <c r="J526" s="22"/>
      <c r="K526" s="22"/>
      <c r="L526" s="22"/>
      <c r="M526" s="22"/>
      <c r="N526" s="22"/>
      <c r="O526" s="22"/>
      <c r="P526" s="22"/>
      <c r="Q526" s="27"/>
      <c r="R526" s="22"/>
      <c r="S526" s="22"/>
      <c r="T526" s="22"/>
      <c r="U526" s="22"/>
      <c r="V526" s="22"/>
      <c r="W526" s="22"/>
      <c r="X526" s="22"/>
      <c r="Y526" s="22"/>
      <c r="Z526" s="22"/>
      <c r="AA526" s="22"/>
      <c r="AB526" s="22"/>
    </row>
    <row r="527" spans="1:28" x14ac:dyDescent="0.3">
      <c r="A527" s="22"/>
      <c r="B527" s="22"/>
      <c r="C527" s="22"/>
      <c r="D527" s="22"/>
      <c r="E527" s="22"/>
      <c r="F527" s="22"/>
      <c r="G527" s="22"/>
      <c r="H527" s="22"/>
      <c r="I527" s="22"/>
      <c r="J527" s="22"/>
      <c r="K527" s="22"/>
      <c r="L527" s="22"/>
      <c r="M527" s="22"/>
      <c r="N527" s="22"/>
      <c r="O527" s="22"/>
      <c r="P527" s="22"/>
      <c r="Q527" s="27"/>
      <c r="R527" s="22"/>
      <c r="S527" s="22"/>
      <c r="T527" s="22"/>
      <c r="U527" s="22"/>
      <c r="V527" s="22"/>
      <c r="W527" s="22"/>
      <c r="X527" s="22"/>
      <c r="Y527" s="22"/>
      <c r="Z527" s="22"/>
      <c r="AA527" s="22"/>
      <c r="AB527" s="22"/>
    </row>
    <row r="528" spans="1:28" x14ac:dyDescent="0.3">
      <c r="A528" s="22"/>
      <c r="B528" s="22"/>
      <c r="C528" s="22"/>
      <c r="D528" s="22"/>
      <c r="E528" s="22"/>
      <c r="F528" s="22"/>
      <c r="G528" s="22"/>
      <c r="H528" s="22"/>
      <c r="I528" s="22"/>
      <c r="J528" s="22"/>
      <c r="K528" s="22"/>
      <c r="L528" s="22"/>
      <c r="M528" s="22"/>
      <c r="N528" s="22"/>
      <c r="O528" s="22"/>
      <c r="P528" s="22"/>
      <c r="Q528" s="27"/>
      <c r="R528" s="22"/>
      <c r="S528" s="22"/>
      <c r="T528" s="22"/>
      <c r="U528" s="22"/>
      <c r="V528" s="22"/>
      <c r="W528" s="22"/>
      <c r="X528" s="22"/>
      <c r="Y528" s="22"/>
      <c r="Z528" s="22"/>
      <c r="AA528" s="22"/>
      <c r="AB528" s="22"/>
    </row>
    <row r="529" spans="1:28" x14ac:dyDescent="0.3">
      <c r="A529" s="22"/>
      <c r="B529" s="22"/>
      <c r="C529" s="22"/>
      <c r="D529" s="22"/>
      <c r="E529" s="22"/>
      <c r="F529" s="22"/>
      <c r="G529" s="22"/>
      <c r="H529" s="22"/>
      <c r="I529" s="22"/>
      <c r="J529" s="22"/>
      <c r="K529" s="22"/>
      <c r="L529" s="22"/>
      <c r="M529" s="22"/>
      <c r="N529" s="22"/>
      <c r="O529" s="22"/>
      <c r="P529" s="22"/>
      <c r="Q529" s="27"/>
      <c r="R529" s="22"/>
      <c r="S529" s="22"/>
      <c r="T529" s="22"/>
      <c r="U529" s="22"/>
      <c r="V529" s="22"/>
      <c r="W529" s="22"/>
      <c r="X529" s="22"/>
      <c r="Y529" s="22"/>
      <c r="Z529" s="22"/>
      <c r="AA529" s="22"/>
      <c r="AB529" s="22"/>
    </row>
    <row r="530" spans="1:28" x14ac:dyDescent="0.3">
      <c r="A530" s="22"/>
      <c r="B530" s="22"/>
      <c r="C530" s="22"/>
      <c r="D530" s="22"/>
      <c r="E530" s="22"/>
      <c r="F530" s="22"/>
      <c r="G530" s="22"/>
      <c r="H530" s="22"/>
      <c r="I530" s="22"/>
      <c r="J530" s="22"/>
      <c r="K530" s="22"/>
      <c r="L530" s="22"/>
      <c r="M530" s="22"/>
      <c r="N530" s="22"/>
      <c r="O530" s="22"/>
      <c r="P530" s="22"/>
      <c r="Q530" s="27"/>
      <c r="R530" s="22"/>
      <c r="S530" s="22"/>
      <c r="T530" s="22"/>
      <c r="U530" s="22"/>
      <c r="V530" s="22"/>
      <c r="W530" s="22"/>
      <c r="X530" s="22"/>
      <c r="Y530" s="22"/>
      <c r="Z530" s="22"/>
      <c r="AA530" s="22"/>
      <c r="AB530" s="22"/>
    </row>
    <row r="531" spans="1:28" x14ac:dyDescent="0.3">
      <c r="A531" s="22"/>
      <c r="B531" s="22"/>
      <c r="C531" s="22"/>
      <c r="D531" s="22"/>
      <c r="E531" s="22"/>
      <c r="F531" s="22"/>
      <c r="G531" s="22"/>
      <c r="H531" s="22"/>
      <c r="I531" s="22"/>
      <c r="J531" s="22"/>
      <c r="K531" s="22"/>
      <c r="L531" s="22"/>
      <c r="M531" s="22"/>
      <c r="N531" s="22"/>
      <c r="O531" s="22"/>
      <c r="P531" s="22"/>
      <c r="Q531" s="27"/>
      <c r="R531" s="22"/>
      <c r="S531" s="22"/>
      <c r="T531" s="22"/>
      <c r="U531" s="22"/>
      <c r="V531" s="22"/>
      <c r="W531" s="22"/>
      <c r="X531" s="22"/>
      <c r="Y531" s="22"/>
      <c r="Z531" s="22"/>
      <c r="AA531" s="22"/>
      <c r="AB531" s="22"/>
    </row>
    <row r="532" spans="1:28" x14ac:dyDescent="0.3">
      <c r="A532" s="22"/>
      <c r="B532" s="22"/>
      <c r="C532" s="22"/>
      <c r="D532" s="22"/>
      <c r="E532" s="22"/>
      <c r="F532" s="22"/>
      <c r="G532" s="22"/>
      <c r="H532" s="22"/>
      <c r="I532" s="22"/>
      <c r="J532" s="22"/>
      <c r="K532" s="22"/>
      <c r="L532" s="22"/>
      <c r="M532" s="22"/>
      <c r="N532" s="22"/>
      <c r="O532" s="22"/>
      <c r="P532" s="22"/>
      <c r="Q532" s="27"/>
      <c r="R532" s="22"/>
      <c r="S532" s="22"/>
      <c r="T532" s="22"/>
      <c r="U532" s="22"/>
      <c r="V532" s="22"/>
      <c r="W532" s="22"/>
      <c r="X532" s="22"/>
      <c r="Y532" s="22"/>
      <c r="Z532" s="22"/>
      <c r="AA532" s="22"/>
      <c r="AB532" s="22"/>
    </row>
    <row r="533" spans="1:28" x14ac:dyDescent="0.3">
      <c r="A533" s="22"/>
      <c r="B533" s="22"/>
      <c r="C533" s="22"/>
      <c r="D533" s="22"/>
      <c r="E533" s="22"/>
      <c r="F533" s="22"/>
      <c r="G533" s="22"/>
      <c r="H533" s="22"/>
      <c r="I533" s="22"/>
      <c r="J533" s="22"/>
      <c r="K533" s="22"/>
      <c r="L533" s="22"/>
      <c r="M533" s="22"/>
      <c r="N533" s="22"/>
      <c r="O533" s="22"/>
      <c r="P533" s="22"/>
      <c r="Q533" s="27"/>
      <c r="R533" s="22"/>
      <c r="S533" s="22"/>
      <c r="T533" s="22"/>
      <c r="U533" s="22"/>
      <c r="V533" s="22"/>
      <c r="W533" s="22"/>
      <c r="X533" s="22"/>
      <c r="Y533" s="22"/>
      <c r="Z533" s="22"/>
      <c r="AA533" s="22"/>
      <c r="AB533" s="22"/>
    </row>
    <row r="534" spans="1:28" x14ac:dyDescent="0.3">
      <c r="A534" s="22"/>
      <c r="B534" s="22"/>
      <c r="C534" s="22"/>
      <c r="D534" s="22"/>
      <c r="E534" s="22"/>
      <c r="F534" s="22"/>
      <c r="G534" s="22"/>
      <c r="H534" s="22"/>
      <c r="I534" s="22"/>
      <c r="J534" s="22"/>
      <c r="K534" s="22"/>
      <c r="L534" s="22"/>
      <c r="M534" s="22"/>
      <c r="N534" s="22"/>
      <c r="O534" s="22"/>
      <c r="P534" s="22"/>
      <c r="Q534" s="27"/>
      <c r="R534" s="22"/>
      <c r="S534" s="22"/>
      <c r="T534" s="22"/>
      <c r="U534" s="22"/>
      <c r="V534" s="22"/>
      <c r="W534" s="22"/>
      <c r="X534" s="22"/>
      <c r="Y534" s="22"/>
      <c r="Z534" s="22"/>
      <c r="AA534" s="22"/>
      <c r="AB534" s="22"/>
    </row>
    <row r="535" spans="1:28" x14ac:dyDescent="0.3">
      <c r="A535" s="22"/>
      <c r="B535" s="22"/>
      <c r="C535" s="22"/>
      <c r="D535" s="22"/>
      <c r="E535" s="22"/>
      <c r="F535" s="22"/>
      <c r="G535" s="22"/>
      <c r="H535" s="22"/>
      <c r="I535" s="22"/>
      <c r="J535" s="22"/>
      <c r="K535" s="22"/>
      <c r="L535" s="22"/>
      <c r="M535" s="22"/>
      <c r="N535" s="22"/>
      <c r="O535" s="22"/>
      <c r="P535" s="22"/>
      <c r="Q535" s="27"/>
      <c r="R535" s="22"/>
      <c r="S535" s="22"/>
      <c r="T535" s="22"/>
      <c r="U535" s="22"/>
      <c r="V535" s="22"/>
      <c r="W535" s="22"/>
      <c r="X535" s="22"/>
      <c r="Y535" s="22"/>
      <c r="Z535" s="22"/>
      <c r="AA535" s="22"/>
      <c r="AB535" s="22"/>
    </row>
    <row r="536" spans="1:28" x14ac:dyDescent="0.3">
      <c r="A536" s="22"/>
      <c r="B536" s="22"/>
      <c r="C536" s="22"/>
      <c r="D536" s="22"/>
      <c r="E536" s="22"/>
      <c r="F536" s="22"/>
      <c r="G536" s="22"/>
      <c r="H536" s="22"/>
      <c r="I536" s="22"/>
      <c r="J536" s="22"/>
      <c r="K536" s="22"/>
      <c r="L536" s="22"/>
      <c r="M536" s="22"/>
      <c r="N536" s="22"/>
      <c r="O536" s="22"/>
      <c r="P536" s="22"/>
      <c r="Q536" s="27"/>
      <c r="R536" s="22"/>
      <c r="S536" s="22"/>
      <c r="T536" s="22"/>
      <c r="U536" s="22"/>
      <c r="V536" s="22"/>
      <c r="W536" s="22"/>
      <c r="X536" s="22"/>
      <c r="Y536" s="22"/>
      <c r="Z536" s="22"/>
      <c r="AA536" s="22"/>
      <c r="AB536" s="22"/>
    </row>
    <row r="537" spans="1:28" x14ac:dyDescent="0.3">
      <c r="A537" s="22"/>
      <c r="B537" s="22"/>
      <c r="C537" s="22"/>
      <c r="D537" s="22"/>
      <c r="E537" s="22"/>
      <c r="F537" s="22"/>
      <c r="G537" s="22"/>
      <c r="H537" s="22"/>
      <c r="I537" s="22"/>
      <c r="J537" s="22"/>
      <c r="K537" s="22"/>
      <c r="L537" s="22"/>
      <c r="M537" s="22"/>
      <c r="N537" s="22"/>
      <c r="O537" s="22"/>
      <c r="P537" s="22"/>
      <c r="Q537" s="27"/>
      <c r="R537" s="22"/>
      <c r="S537" s="22"/>
      <c r="T537" s="22"/>
      <c r="U537" s="22"/>
      <c r="V537" s="22"/>
      <c r="W537" s="22"/>
      <c r="X537" s="22"/>
      <c r="Y537" s="22"/>
      <c r="Z537" s="22"/>
      <c r="AA537" s="22"/>
      <c r="AB537" s="22"/>
    </row>
    <row r="538" spans="1:28" x14ac:dyDescent="0.3">
      <c r="A538" s="22"/>
      <c r="B538" s="22"/>
      <c r="C538" s="22"/>
      <c r="D538" s="22"/>
      <c r="E538" s="22"/>
      <c r="F538" s="22"/>
      <c r="G538" s="22"/>
      <c r="H538" s="22"/>
      <c r="I538" s="22"/>
      <c r="J538" s="22"/>
      <c r="K538" s="22"/>
      <c r="L538" s="22"/>
      <c r="M538" s="22"/>
      <c r="N538" s="22"/>
      <c r="O538" s="22"/>
      <c r="P538" s="22"/>
      <c r="Q538" s="27"/>
      <c r="R538" s="22"/>
      <c r="S538" s="22"/>
      <c r="T538" s="22"/>
      <c r="U538" s="22"/>
      <c r="V538" s="22"/>
      <c r="W538" s="22"/>
      <c r="X538" s="22"/>
      <c r="Y538" s="22"/>
      <c r="Z538" s="22"/>
      <c r="AA538" s="22"/>
      <c r="AB538" s="22"/>
    </row>
    <row r="539" spans="1:28" x14ac:dyDescent="0.3">
      <c r="A539" s="22"/>
      <c r="B539" s="22"/>
      <c r="C539" s="22"/>
      <c r="D539" s="22"/>
      <c r="E539" s="22"/>
      <c r="F539" s="22"/>
      <c r="G539" s="22"/>
      <c r="H539" s="22"/>
      <c r="I539" s="22"/>
      <c r="J539" s="22"/>
      <c r="K539" s="22"/>
      <c r="L539" s="22"/>
      <c r="M539" s="22"/>
      <c r="N539" s="22"/>
      <c r="O539" s="22"/>
      <c r="P539" s="22"/>
      <c r="Q539" s="27"/>
      <c r="R539" s="22"/>
      <c r="S539" s="22"/>
      <c r="T539" s="22"/>
      <c r="U539" s="22"/>
      <c r="V539" s="22"/>
      <c r="W539" s="22"/>
      <c r="X539" s="22"/>
      <c r="Y539" s="22"/>
      <c r="Z539" s="22"/>
      <c r="AA539" s="22"/>
      <c r="AB539" s="22"/>
    </row>
    <row r="540" spans="1:28" x14ac:dyDescent="0.3">
      <c r="A540" s="22"/>
      <c r="B540" s="22"/>
      <c r="C540" s="22"/>
      <c r="D540" s="22"/>
      <c r="E540" s="22"/>
      <c r="F540" s="22"/>
      <c r="G540" s="22"/>
      <c r="H540" s="22"/>
      <c r="I540" s="22"/>
      <c r="J540" s="22"/>
      <c r="K540" s="22"/>
      <c r="L540" s="22"/>
      <c r="M540" s="22"/>
      <c r="N540" s="22"/>
      <c r="O540" s="22"/>
      <c r="P540" s="22"/>
      <c r="Q540" s="27"/>
      <c r="R540" s="22"/>
      <c r="S540" s="22"/>
      <c r="T540" s="22"/>
      <c r="U540" s="22"/>
      <c r="V540" s="22"/>
      <c r="W540" s="22"/>
      <c r="X540" s="22"/>
      <c r="Y540" s="22"/>
      <c r="Z540" s="22"/>
      <c r="AA540" s="22"/>
      <c r="AB540" s="22"/>
    </row>
    <row r="541" spans="1:28" x14ac:dyDescent="0.3">
      <c r="A541" s="22"/>
      <c r="B541" s="22"/>
      <c r="C541" s="22"/>
      <c r="D541" s="22"/>
      <c r="E541" s="22"/>
      <c r="F541" s="22"/>
      <c r="G541" s="22"/>
      <c r="H541" s="22"/>
      <c r="I541" s="22"/>
      <c r="J541" s="22"/>
      <c r="K541" s="22"/>
      <c r="L541" s="22"/>
      <c r="M541" s="22"/>
      <c r="N541" s="22"/>
      <c r="O541" s="22"/>
      <c r="P541" s="22"/>
      <c r="Q541" s="27"/>
      <c r="R541" s="22"/>
      <c r="S541" s="22"/>
      <c r="T541" s="22"/>
      <c r="U541" s="22"/>
      <c r="V541" s="22"/>
      <c r="W541" s="22"/>
      <c r="X541" s="22"/>
      <c r="Y541" s="22"/>
      <c r="Z541" s="22"/>
      <c r="AA541" s="22"/>
      <c r="AB541" s="22"/>
    </row>
    <row r="542" spans="1:28" x14ac:dyDescent="0.3">
      <c r="A542" s="22"/>
      <c r="B542" s="22"/>
      <c r="C542" s="22"/>
      <c r="D542" s="22"/>
      <c r="E542" s="22"/>
      <c r="F542" s="22"/>
      <c r="G542" s="22"/>
      <c r="H542" s="22"/>
      <c r="I542" s="22"/>
      <c r="J542" s="22"/>
      <c r="K542" s="22"/>
      <c r="L542" s="22"/>
      <c r="M542" s="22"/>
      <c r="N542" s="22"/>
      <c r="O542" s="22"/>
      <c r="P542" s="22"/>
      <c r="Q542" s="27"/>
      <c r="R542" s="22"/>
      <c r="S542" s="22"/>
      <c r="T542" s="22"/>
      <c r="U542" s="22"/>
      <c r="V542" s="22"/>
      <c r="W542" s="22"/>
      <c r="X542" s="22"/>
      <c r="Y542" s="22"/>
      <c r="Z542" s="22"/>
      <c r="AA542" s="22"/>
      <c r="AB542" s="22"/>
    </row>
    <row r="543" spans="1:28" x14ac:dyDescent="0.3">
      <c r="A543" s="22"/>
      <c r="B543" s="22"/>
      <c r="C543" s="22"/>
      <c r="D543" s="22"/>
      <c r="E543" s="22"/>
      <c r="F543" s="22"/>
      <c r="G543" s="22"/>
      <c r="H543" s="22"/>
      <c r="I543" s="22"/>
      <c r="J543" s="22"/>
      <c r="K543" s="22"/>
      <c r="L543" s="22"/>
      <c r="M543" s="22"/>
      <c r="N543" s="22"/>
      <c r="O543" s="22"/>
      <c r="P543" s="22"/>
      <c r="Q543" s="27"/>
      <c r="R543" s="22"/>
      <c r="S543" s="22"/>
      <c r="T543" s="22"/>
      <c r="U543" s="22"/>
      <c r="V543" s="22"/>
      <c r="W543" s="22"/>
      <c r="X543" s="22"/>
      <c r="Y543" s="22"/>
      <c r="Z543" s="22"/>
      <c r="AA543" s="22"/>
      <c r="AB543" s="22"/>
    </row>
    <row r="544" spans="1:28" x14ac:dyDescent="0.3">
      <c r="A544" s="22"/>
      <c r="B544" s="22"/>
      <c r="C544" s="22"/>
      <c r="D544" s="22"/>
      <c r="E544" s="22"/>
      <c r="F544" s="22"/>
      <c r="G544" s="22"/>
      <c r="H544" s="22"/>
      <c r="I544" s="22"/>
      <c r="J544" s="22"/>
      <c r="K544" s="22"/>
      <c r="L544" s="22"/>
      <c r="M544" s="22"/>
      <c r="N544" s="22"/>
      <c r="O544" s="22"/>
      <c r="P544" s="22"/>
      <c r="Q544" s="27"/>
      <c r="R544" s="22"/>
      <c r="S544" s="22"/>
      <c r="T544" s="22"/>
      <c r="U544" s="22"/>
      <c r="V544" s="22"/>
      <c r="W544" s="22"/>
      <c r="X544" s="22"/>
      <c r="Y544" s="22"/>
      <c r="Z544" s="22"/>
      <c r="AA544" s="22"/>
      <c r="AB544" s="22"/>
    </row>
    <row r="545" spans="1:28" x14ac:dyDescent="0.3">
      <c r="A545" s="22"/>
      <c r="B545" s="22"/>
      <c r="C545" s="22"/>
      <c r="D545" s="22"/>
      <c r="E545" s="22"/>
      <c r="F545" s="22"/>
      <c r="G545" s="22"/>
      <c r="H545" s="22"/>
      <c r="I545" s="22"/>
      <c r="J545" s="22"/>
      <c r="K545" s="22"/>
      <c r="L545" s="22"/>
      <c r="M545" s="22"/>
      <c r="N545" s="22"/>
      <c r="O545" s="22"/>
      <c r="P545" s="22"/>
      <c r="Q545" s="27"/>
      <c r="R545" s="22"/>
      <c r="S545" s="22"/>
      <c r="T545" s="22"/>
      <c r="U545" s="22"/>
      <c r="V545" s="22"/>
      <c r="W545" s="22"/>
      <c r="X545" s="22"/>
      <c r="Y545" s="22"/>
      <c r="Z545" s="22"/>
      <c r="AA545" s="22"/>
      <c r="AB545" s="22"/>
    </row>
    <row r="546" spans="1:28" x14ac:dyDescent="0.3">
      <c r="A546" s="22"/>
      <c r="B546" s="22"/>
      <c r="C546" s="22"/>
      <c r="D546" s="22"/>
      <c r="E546" s="22"/>
      <c r="F546" s="22"/>
      <c r="G546" s="22"/>
      <c r="H546" s="22"/>
      <c r="I546" s="22"/>
      <c r="J546" s="22"/>
      <c r="K546" s="22"/>
      <c r="L546" s="22"/>
      <c r="M546" s="22"/>
      <c r="N546" s="22"/>
      <c r="O546" s="22"/>
      <c r="P546" s="22"/>
      <c r="Q546" s="27"/>
      <c r="R546" s="22"/>
      <c r="S546" s="22"/>
      <c r="T546" s="22"/>
      <c r="U546" s="22"/>
      <c r="V546" s="22"/>
      <c r="W546" s="22"/>
      <c r="X546" s="22"/>
      <c r="Y546" s="22"/>
      <c r="Z546" s="22"/>
      <c r="AA546" s="22"/>
      <c r="AB546" s="22"/>
    </row>
    <row r="547" spans="1:28" x14ac:dyDescent="0.3">
      <c r="A547" s="22"/>
      <c r="B547" s="22"/>
      <c r="C547" s="22"/>
      <c r="D547" s="22"/>
      <c r="E547" s="22"/>
      <c r="F547" s="22"/>
      <c r="G547" s="22"/>
      <c r="H547" s="22"/>
      <c r="I547" s="22"/>
      <c r="J547" s="22"/>
      <c r="K547" s="22"/>
      <c r="L547" s="22"/>
      <c r="M547" s="22"/>
      <c r="N547" s="22"/>
      <c r="O547" s="22"/>
      <c r="P547" s="22"/>
      <c r="Q547" s="27"/>
      <c r="R547" s="22"/>
      <c r="S547" s="22"/>
      <c r="T547" s="22"/>
      <c r="U547" s="22"/>
      <c r="V547" s="22"/>
      <c r="W547" s="22"/>
      <c r="X547" s="22"/>
      <c r="Y547" s="22"/>
      <c r="Z547" s="22"/>
      <c r="AA547" s="22"/>
      <c r="AB547" s="22"/>
    </row>
    <row r="548" spans="1:28" x14ac:dyDescent="0.3">
      <c r="A548" s="22"/>
      <c r="B548" s="22"/>
      <c r="C548" s="22"/>
      <c r="D548" s="22"/>
      <c r="E548" s="22"/>
      <c r="F548" s="22"/>
      <c r="G548" s="22"/>
      <c r="H548" s="22"/>
      <c r="I548" s="22"/>
      <c r="J548" s="22"/>
      <c r="K548" s="22"/>
      <c r="L548" s="22"/>
      <c r="M548" s="22"/>
      <c r="N548" s="22"/>
      <c r="O548" s="22"/>
      <c r="P548" s="22"/>
      <c r="Q548" s="27"/>
      <c r="R548" s="22"/>
      <c r="S548" s="22"/>
      <c r="T548" s="22"/>
      <c r="U548" s="22"/>
      <c r="V548" s="22"/>
      <c r="W548" s="22"/>
      <c r="X548" s="22"/>
      <c r="Y548" s="22"/>
      <c r="Z548" s="22"/>
      <c r="AA548" s="22"/>
      <c r="AB548" s="22"/>
    </row>
    <row r="549" spans="1:28" x14ac:dyDescent="0.3">
      <c r="A549" s="22"/>
      <c r="B549" s="22"/>
      <c r="C549" s="22"/>
      <c r="D549" s="22"/>
      <c r="E549" s="22"/>
      <c r="F549" s="22"/>
      <c r="G549" s="22"/>
      <c r="H549" s="22"/>
      <c r="I549" s="22"/>
      <c r="J549" s="22"/>
      <c r="K549" s="22"/>
      <c r="L549" s="22"/>
      <c r="M549" s="22"/>
      <c r="N549" s="22"/>
      <c r="O549" s="22"/>
      <c r="P549" s="22"/>
      <c r="Q549" s="27"/>
      <c r="R549" s="22"/>
      <c r="S549" s="22"/>
      <c r="T549" s="22"/>
      <c r="U549" s="22"/>
      <c r="V549" s="22"/>
      <c r="W549" s="22"/>
      <c r="X549" s="22"/>
      <c r="Y549" s="22"/>
      <c r="Z549" s="22"/>
      <c r="AA549" s="22"/>
      <c r="AB549" s="22"/>
    </row>
    <row r="550" spans="1:28" x14ac:dyDescent="0.3">
      <c r="A550" s="22"/>
      <c r="B550" s="22"/>
      <c r="C550" s="22"/>
      <c r="D550" s="22"/>
      <c r="E550" s="22"/>
      <c r="F550" s="22"/>
      <c r="G550" s="22"/>
      <c r="H550" s="22"/>
      <c r="I550" s="22"/>
      <c r="J550" s="22"/>
      <c r="K550" s="22"/>
      <c r="L550" s="22"/>
      <c r="M550" s="22"/>
      <c r="N550" s="22"/>
      <c r="O550" s="22"/>
      <c r="P550" s="22"/>
      <c r="Q550" s="27"/>
      <c r="R550" s="22"/>
      <c r="S550" s="22"/>
      <c r="T550" s="22"/>
      <c r="U550" s="22"/>
      <c r="V550" s="22"/>
      <c r="W550" s="22"/>
      <c r="X550" s="22"/>
      <c r="Y550" s="22"/>
      <c r="Z550" s="22"/>
      <c r="AA550" s="22"/>
      <c r="AB550" s="22"/>
    </row>
    <row r="551" spans="1:28" x14ac:dyDescent="0.3">
      <c r="A551" s="22"/>
      <c r="B551" s="22"/>
      <c r="C551" s="22"/>
      <c r="D551" s="22"/>
      <c r="E551" s="22"/>
      <c r="F551" s="22"/>
      <c r="G551" s="22"/>
      <c r="H551" s="22"/>
      <c r="I551" s="22"/>
      <c r="J551" s="22"/>
      <c r="K551" s="22"/>
      <c r="L551" s="22"/>
      <c r="M551" s="22"/>
      <c r="N551" s="22"/>
      <c r="O551" s="22"/>
      <c r="P551" s="22"/>
      <c r="Q551" s="27"/>
      <c r="R551" s="22"/>
      <c r="S551" s="22"/>
      <c r="T551" s="22"/>
      <c r="U551" s="22"/>
      <c r="V551" s="22"/>
      <c r="W551" s="22"/>
      <c r="X551" s="22"/>
      <c r="Y551" s="22"/>
      <c r="Z551" s="22"/>
      <c r="AA551" s="22"/>
      <c r="AB551" s="22"/>
    </row>
    <row r="552" spans="1:28" x14ac:dyDescent="0.3">
      <c r="A552" s="22"/>
      <c r="B552" s="22"/>
      <c r="C552" s="22"/>
      <c r="D552" s="22"/>
      <c r="E552" s="22"/>
      <c r="F552" s="22"/>
      <c r="G552" s="22"/>
      <c r="H552" s="22"/>
      <c r="I552" s="22"/>
      <c r="J552" s="22"/>
      <c r="K552" s="22"/>
      <c r="L552" s="22"/>
      <c r="M552" s="22"/>
      <c r="N552" s="22"/>
      <c r="O552" s="22"/>
      <c r="P552" s="22"/>
      <c r="Q552" s="27"/>
      <c r="R552" s="22"/>
      <c r="S552" s="22"/>
      <c r="T552" s="22"/>
      <c r="U552" s="22"/>
      <c r="V552" s="22"/>
      <c r="W552" s="22"/>
      <c r="X552" s="22"/>
      <c r="Y552" s="22"/>
      <c r="Z552" s="22"/>
      <c r="AA552" s="22"/>
      <c r="AB552" s="22"/>
    </row>
    <row r="553" spans="1:28" x14ac:dyDescent="0.3">
      <c r="A553" s="22"/>
      <c r="B553" s="22"/>
      <c r="C553" s="22"/>
      <c r="D553" s="22"/>
      <c r="E553" s="22"/>
      <c r="F553" s="22"/>
      <c r="G553" s="22"/>
      <c r="H553" s="22"/>
      <c r="I553" s="22"/>
      <c r="J553" s="22"/>
      <c r="K553" s="22"/>
      <c r="L553" s="22"/>
      <c r="M553" s="22"/>
      <c r="N553" s="22"/>
      <c r="O553" s="22"/>
      <c r="P553" s="22"/>
      <c r="Q553" s="27"/>
      <c r="R553" s="22"/>
      <c r="S553" s="22"/>
      <c r="T553" s="22"/>
      <c r="U553" s="22"/>
      <c r="V553" s="22"/>
      <c r="W553" s="22"/>
      <c r="X553" s="22"/>
      <c r="Y553" s="22"/>
      <c r="Z553" s="22"/>
      <c r="AA553" s="22"/>
      <c r="AB553" s="22"/>
    </row>
    <row r="554" spans="1:28" x14ac:dyDescent="0.3">
      <c r="A554" s="22"/>
      <c r="B554" s="22"/>
      <c r="C554" s="22"/>
      <c r="D554" s="22"/>
      <c r="E554" s="22"/>
      <c r="F554" s="22"/>
      <c r="G554" s="22"/>
      <c r="H554" s="22"/>
      <c r="I554" s="22"/>
      <c r="J554" s="22"/>
      <c r="K554" s="22"/>
      <c r="L554" s="22"/>
      <c r="M554" s="22"/>
      <c r="N554" s="22"/>
      <c r="O554" s="22"/>
      <c r="P554" s="22"/>
      <c r="Q554" s="27"/>
      <c r="R554" s="22"/>
      <c r="S554" s="22"/>
      <c r="T554" s="22"/>
      <c r="U554" s="22"/>
      <c r="V554" s="22"/>
      <c r="W554" s="22"/>
      <c r="X554" s="22"/>
      <c r="Y554" s="22"/>
      <c r="Z554" s="22"/>
      <c r="AA554" s="22"/>
      <c r="AB554" s="22"/>
    </row>
    <row r="555" spans="1:28" x14ac:dyDescent="0.3">
      <c r="A555" s="22"/>
      <c r="B555" s="22"/>
      <c r="C555" s="22"/>
      <c r="D555" s="22"/>
      <c r="E555" s="22"/>
      <c r="F555" s="22"/>
      <c r="G555" s="22"/>
      <c r="H555" s="22"/>
      <c r="I555" s="22"/>
      <c r="J555" s="22"/>
      <c r="K555" s="22"/>
      <c r="L555" s="22"/>
      <c r="M555" s="22"/>
      <c r="N555" s="22"/>
      <c r="O555" s="22"/>
      <c r="P555" s="22"/>
      <c r="Q555" s="27"/>
      <c r="R555" s="22"/>
      <c r="S555" s="22"/>
      <c r="T555" s="22"/>
      <c r="U555" s="22"/>
      <c r="V555" s="22"/>
      <c r="W555" s="22"/>
      <c r="X555" s="22"/>
      <c r="Y555" s="22"/>
      <c r="Z555" s="22"/>
      <c r="AA555" s="22"/>
      <c r="AB555" s="22"/>
    </row>
    <row r="556" spans="1:28" x14ac:dyDescent="0.3">
      <c r="A556" s="22"/>
      <c r="B556" s="22"/>
      <c r="C556" s="22"/>
      <c r="D556" s="22"/>
      <c r="E556" s="22"/>
      <c r="F556" s="22"/>
      <c r="G556" s="22"/>
      <c r="H556" s="22"/>
      <c r="I556" s="22"/>
      <c r="J556" s="22"/>
      <c r="K556" s="22"/>
      <c r="L556" s="22"/>
      <c r="M556" s="22"/>
      <c r="N556" s="22"/>
      <c r="O556" s="22"/>
      <c r="P556" s="22"/>
      <c r="Q556" s="27"/>
      <c r="R556" s="22"/>
      <c r="S556" s="22"/>
      <c r="T556" s="22"/>
      <c r="U556" s="22"/>
      <c r="V556" s="22"/>
      <c r="W556" s="22"/>
      <c r="X556" s="22"/>
      <c r="Y556" s="22"/>
      <c r="Z556" s="22"/>
      <c r="AA556" s="22"/>
      <c r="AB556" s="22"/>
    </row>
    <row r="557" spans="1:28" x14ac:dyDescent="0.3">
      <c r="A557" s="22"/>
      <c r="B557" s="22"/>
      <c r="C557" s="22"/>
      <c r="D557" s="22"/>
      <c r="E557" s="22"/>
      <c r="F557" s="22"/>
      <c r="G557" s="22"/>
      <c r="H557" s="22"/>
      <c r="I557" s="22"/>
      <c r="J557" s="22"/>
      <c r="K557" s="22"/>
      <c r="L557" s="22"/>
      <c r="M557" s="22"/>
      <c r="N557" s="22"/>
      <c r="O557" s="22"/>
      <c r="P557" s="22"/>
      <c r="Q557" s="27"/>
      <c r="R557" s="22"/>
      <c r="S557" s="22"/>
      <c r="T557" s="22"/>
      <c r="U557" s="22"/>
      <c r="V557" s="22"/>
      <c r="W557" s="22"/>
      <c r="X557" s="22"/>
      <c r="Y557" s="22"/>
      <c r="Z557" s="22"/>
      <c r="AA557" s="22"/>
      <c r="AB557" s="22"/>
    </row>
    <row r="558" spans="1:28" x14ac:dyDescent="0.3">
      <c r="A558" s="22"/>
      <c r="B558" s="22"/>
      <c r="C558" s="22"/>
      <c r="D558" s="22"/>
      <c r="E558" s="22"/>
      <c r="F558" s="22"/>
      <c r="G558" s="22"/>
      <c r="H558" s="22"/>
      <c r="I558" s="22"/>
      <c r="J558" s="22"/>
      <c r="K558" s="22"/>
      <c r="L558" s="22"/>
      <c r="M558" s="22"/>
      <c r="N558" s="22"/>
      <c r="O558" s="22"/>
      <c r="P558" s="22"/>
      <c r="Q558" s="27"/>
      <c r="R558" s="22"/>
      <c r="S558" s="22"/>
      <c r="T558" s="22"/>
      <c r="U558" s="22"/>
      <c r="V558" s="22"/>
      <c r="W558" s="22"/>
      <c r="X558" s="22"/>
      <c r="Y558" s="22"/>
      <c r="Z558" s="22"/>
      <c r="AA558" s="22"/>
      <c r="AB558" s="22"/>
    </row>
    <row r="559" spans="1:28" x14ac:dyDescent="0.3">
      <c r="A559" s="22"/>
      <c r="B559" s="22"/>
      <c r="C559" s="22"/>
      <c r="D559" s="22"/>
      <c r="E559" s="22"/>
      <c r="F559" s="22"/>
      <c r="G559" s="22"/>
      <c r="H559" s="22"/>
      <c r="I559" s="22"/>
      <c r="J559" s="22"/>
      <c r="K559" s="22"/>
      <c r="L559" s="22"/>
      <c r="M559" s="22"/>
      <c r="N559" s="22"/>
      <c r="O559" s="22"/>
      <c r="P559" s="22"/>
      <c r="Q559" s="27"/>
      <c r="R559" s="22"/>
      <c r="S559" s="22"/>
      <c r="T559" s="22"/>
      <c r="U559" s="22"/>
      <c r="V559" s="22"/>
      <c r="W559" s="22"/>
      <c r="X559" s="22"/>
      <c r="Y559" s="22"/>
      <c r="Z559" s="22"/>
      <c r="AA559" s="22"/>
      <c r="AB559" s="22"/>
    </row>
    <row r="560" spans="1:28" x14ac:dyDescent="0.3">
      <c r="A560" s="22"/>
      <c r="B560" s="22"/>
      <c r="C560" s="22"/>
      <c r="D560" s="22"/>
      <c r="E560" s="22"/>
      <c r="F560" s="22"/>
      <c r="G560" s="22"/>
      <c r="H560" s="22"/>
      <c r="I560" s="22"/>
      <c r="J560" s="22"/>
      <c r="K560" s="22"/>
      <c r="L560" s="22"/>
      <c r="M560" s="22"/>
      <c r="N560" s="22"/>
      <c r="O560" s="22"/>
      <c r="P560" s="22"/>
      <c r="Q560" s="27"/>
      <c r="R560" s="22"/>
      <c r="S560" s="22"/>
      <c r="T560" s="22"/>
      <c r="U560" s="22"/>
      <c r="V560" s="22"/>
      <c r="W560" s="22"/>
      <c r="X560" s="22"/>
      <c r="Y560" s="22"/>
      <c r="Z560" s="22"/>
      <c r="AA560" s="22"/>
      <c r="AB560" s="22"/>
    </row>
    <row r="561" spans="1:28" x14ac:dyDescent="0.3">
      <c r="A561" s="22"/>
      <c r="B561" s="22"/>
      <c r="C561" s="22"/>
      <c r="D561" s="22"/>
      <c r="E561" s="22"/>
      <c r="F561" s="22"/>
      <c r="G561" s="22"/>
      <c r="H561" s="22"/>
      <c r="I561" s="22"/>
      <c r="J561" s="22"/>
      <c r="K561" s="22"/>
      <c r="L561" s="22"/>
      <c r="M561" s="22"/>
      <c r="N561" s="22"/>
      <c r="O561" s="22"/>
      <c r="P561" s="22"/>
      <c r="Q561" s="27"/>
      <c r="R561" s="22"/>
      <c r="S561" s="22"/>
      <c r="T561" s="22"/>
      <c r="U561" s="22"/>
      <c r="V561" s="22"/>
      <c r="W561" s="22"/>
      <c r="X561" s="22"/>
      <c r="Y561" s="22"/>
      <c r="Z561" s="22"/>
      <c r="AA561" s="22"/>
      <c r="AB561" s="22"/>
    </row>
    <row r="562" spans="1:28" x14ac:dyDescent="0.3">
      <c r="A562" s="22"/>
      <c r="B562" s="22"/>
      <c r="C562" s="22"/>
      <c r="D562" s="22"/>
      <c r="E562" s="22"/>
      <c r="F562" s="22"/>
      <c r="G562" s="22"/>
      <c r="H562" s="22"/>
      <c r="I562" s="22"/>
      <c r="J562" s="22"/>
      <c r="K562" s="22"/>
      <c r="L562" s="22"/>
      <c r="M562" s="22"/>
      <c r="N562" s="22"/>
      <c r="O562" s="22"/>
      <c r="P562" s="22"/>
      <c r="Q562" s="27"/>
      <c r="R562" s="22"/>
      <c r="S562" s="22"/>
      <c r="T562" s="22"/>
      <c r="U562" s="22"/>
      <c r="V562" s="22"/>
      <c r="W562" s="22"/>
      <c r="X562" s="22"/>
      <c r="Y562" s="22"/>
      <c r="Z562" s="22"/>
      <c r="AA562" s="22"/>
      <c r="AB562" s="22"/>
    </row>
    <row r="563" spans="1:28" x14ac:dyDescent="0.3">
      <c r="A563" s="22"/>
      <c r="B563" s="22"/>
      <c r="C563" s="22"/>
      <c r="D563" s="22"/>
      <c r="E563" s="22"/>
      <c r="F563" s="22"/>
      <c r="G563" s="22"/>
      <c r="H563" s="22"/>
      <c r="I563" s="22"/>
      <c r="J563" s="22"/>
      <c r="K563" s="22"/>
      <c r="L563" s="22"/>
      <c r="M563" s="22"/>
      <c r="N563" s="22"/>
      <c r="O563" s="22"/>
      <c r="P563" s="22"/>
      <c r="Q563" s="27"/>
      <c r="R563" s="22"/>
      <c r="S563" s="22"/>
      <c r="T563" s="22"/>
      <c r="U563" s="22"/>
      <c r="V563" s="22"/>
      <c r="W563" s="22"/>
      <c r="X563" s="22"/>
      <c r="Y563" s="22"/>
      <c r="Z563" s="22"/>
      <c r="AA563" s="22"/>
      <c r="AB563" s="22"/>
    </row>
    <row r="564" spans="1:28" x14ac:dyDescent="0.3">
      <c r="A564" s="22"/>
      <c r="B564" s="22"/>
      <c r="C564" s="22"/>
      <c r="D564" s="22"/>
      <c r="E564" s="22"/>
      <c r="F564" s="22"/>
      <c r="G564" s="22"/>
      <c r="H564" s="22"/>
      <c r="I564" s="22"/>
      <c r="J564" s="22"/>
      <c r="K564" s="22"/>
      <c r="L564" s="22"/>
      <c r="M564" s="22"/>
      <c r="N564" s="22"/>
      <c r="O564" s="22"/>
      <c r="P564" s="22"/>
      <c r="Q564" s="27"/>
      <c r="R564" s="22"/>
      <c r="S564" s="22"/>
      <c r="T564" s="22"/>
      <c r="U564" s="22"/>
      <c r="V564" s="22"/>
      <c r="W564" s="22"/>
      <c r="X564" s="22"/>
      <c r="Y564" s="22"/>
      <c r="Z564" s="22"/>
      <c r="AA564" s="22"/>
      <c r="AB564" s="22"/>
    </row>
    <row r="565" spans="1:28" x14ac:dyDescent="0.3">
      <c r="A565" s="22"/>
      <c r="B565" s="22"/>
      <c r="C565" s="22"/>
      <c r="D565" s="22"/>
      <c r="E565" s="22"/>
      <c r="F565" s="22"/>
      <c r="G565" s="22"/>
      <c r="H565" s="22"/>
      <c r="I565" s="22"/>
      <c r="J565" s="22"/>
      <c r="K565" s="22"/>
      <c r="L565" s="22"/>
      <c r="M565" s="22"/>
      <c r="N565" s="22"/>
      <c r="O565" s="22"/>
      <c r="P565" s="22"/>
      <c r="Q565" s="27"/>
      <c r="R565" s="22"/>
      <c r="S565" s="22"/>
      <c r="T565" s="22"/>
      <c r="U565" s="22"/>
      <c r="V565" s="22"/>
      <c r="W565" s="22"/>
      <c r="X565" s="22"/>
      <c r="Y565" s="22"/>
      <c r="Z565" s="22"/>
      <c r="AA565" s="22"/>
      <c r="AB565" s="22"/>
    </row>
    <row r="566" spans="1:28" x14ac:dyDescent="0.3">
      <c r="A566" s="22"/>
      <c r="B566" s="22"/>
      <c r="C566" s="22"/>
      <c r="D566" s="22"/>
      <c r="E566" s="22"/>
      <c r="F566" s="22"/>
      <c r="G566" s="22"/>
      <c r="H566" s="22"/>
      <c r="I566" s="22"/>
      <c r="J566" s="22"/>
      <c r="K566" s="22"/>
      <c r="L566" s="22"/>
      <c r="M566" s="22"/>
      <c r="N566" s="22"/>
      <c r="O566" s="22"/>
      <c r="P566" s="22"/>
      <c r="Q566" s="27"/>
      <c r="R566" s="22"/>
      <c r="S566" s="22"/>
      <c r="T566" s="22"/>
      <c r="U566" s="22"/>
      <c r="V566" s="22"/>
      <c r="W566" s="22"/>
      <c r="X566" s="22"/>
      <c r="Y566" s="22"/>
      <c r="Z566" s="22"/>
      <c r="AA566" s="22"/>
      <c r="AB566" s="22"/>
    </row>
    <row r="567" spans="1:28" x14ac:dyDescent="0.3">
      <c r="A567" s="22"/>
      <c r="B567" s="22"/>
      <c r="C567" s="22"/>
      <c r="D567" s="22"/>
      <c r="E567" s="22"/>
      <c r="F567" s="22"/>
      <c r="G567" s="22"/>
      <c r="H567" s="22"/>
      <c r="I567" s="22"/>
      <c r="J567" s="22"/>
      <c r="K567" s="22"/>
      <c r="L567" s="22"/>
      <c r="M567" s="22"/>
      <c r="N567" s="22"/>
      <c r="O567" s="22"/>
      <c r="P567" s="22"/>
      <c r="Q567" s="27"/>
      <c r="R567" s="22"/>
      <c r="S567" s="22"/>
      <c r="T567" s="22"/>
      <c r="U567" s="22"/>
      <c r="V567" s="22"/>
      <c r="W567" s="22"/>
      <c r="X567" s="22"/>
      <c r="Y567" s="22"/>
      <c r="Z567" s="22"/>
      <c r="AA567" s="22"/>
      <c r="AB567" s="22"/>
    </row>
    <row r="568" spans="1:28" x14ac:dyDescent="0.3">
      <c r="A568" s="22"/>
      <c r="B568" s="22"/>
      <c r="C568" s="22"/>
      <c r="D568" s="22"/>
      <c r="E568" s="22"/>
      <c r="F568" s="22"/>
      <c r="G568" s="22"/>
      <c r="H568" s="22"/>
      <c r="I568" s="22"/>
      <c r="J568" s="22"/>
      <c r="K568" s="22"/>
      <c r="L568" s="22"/>
      <c r="M568" s="22"/>
      <c r="N568" s="22"/>
      <c r="O568" s="22"/>
      <c r="P568" s="22"/>
      <c r="Q568" s="27"/>
      <c r="R568" s="22"/>
      <c r="S568" s="22"/>
      <c r="T568" s="22"/>
      <c r="U568" s="22"/>
      <c r="V568" s="22"/>
      <c r="W568" s="22"/>
      <c r="X568" s="22"/>
      <c r="Y568" s="22"/>
      <c r="Z568" s="22"/>
      <c r="AA568" s="22"/>
      <c r="AB568" s="22"/>
    </row>
    <row r="569" spans="1:28" x14ac:dyDescent="0.3">
      <c r="A569" s="22"/>
      <c r="B569" s="22"/>
      <c r="C569" s="22"/>
      <c r="D569" s="22"/>
      <c r="E569" s="22"/>
      <c r="F569" s="22"/>
      <c r="G569" s="22"/>
      <c r="H569" s="22"/>
      <c r="I569" s="22"/>
      <c r="J569" s="22"/>
      <c r="K569" s="22"/>
      <c r="L569" s="22"/>
      <c r="M569" s="22"/>
      <c r="N569" s="22"/>
      <c r="O569" s="22"/>
      <c r="P569" s="22"/>
      <c r="Q569" s="27"/>
      <c r="R569" s="22"/>
      <c r="S569" s="22"/>
      <c r="T569" s="22"/>
      <c r="U569" s="22"/>
      <c r="V569" s="22"/>
      <c r="W569" s="22"/>
      <c r="X569" s="22"/>
      <c r="Y569" s="22"/>
      <c r="Z569" s="22"/>
      <c r="AA569" s="22"/>
      <c r="AB569" s="22"/>
    </row>
    <row r="570" spans="1:28" x14ac:dyDescent="0.3">
      <c r="A570" s="22"/>
      <c r="B570" s="22"/>
      <c r="C570" s="22"/>
      <c r="D570" s="22"/>
      <c r="E570" s="22"/>
      <c r="F570" s="22"/>
      <c r="G570" s="22"/>
      <c r="H570" s="22"/>
      <c r="I570" s="22"/>
      <c r="J570" s="22"/>
      <c r="K570" s="22"/>
      <c r="L570" s="22"/>
      <c r="M570" s="22"/>
      <c r="N570" s="22"/>
      <c r="O570" s="22"/>
      <c r="P570" s="22"/>
      <c r="Q570" s="27"/>
      <c r="R570" s="22"/>
      <c r="S570" s="22"/>
      <c r="T570" s="22"/>
      <c r="U570" s="22"/>
      <c r="V570" s="22"/>
      <c r="W570" s="22"/>
      <c r="X570" s="22"/>
      <c r="Y570" s="22"/>
      <c r="Z570" s="22"/>
      <c r="AA570" s="22"/>
      <c r="AB570" s="22"/>
    </row>
    <row r="571" spans="1:28" x14ac:dyDescent="0.3">
      <c r="A571" s="22"/>
      <c r="B571" s="22"/>
      <c r="C571" s="22"/>
      <c r="D571" s="22"/>
      <c r="E571" s="22"/>
      <c r="F571" s="22"/>
      <c r="G571" s="22"/>
      <c r="H571" s="22"/>
      <c r="I571" s="22"/>
      <c r="J571" s="22"/>
      <c r="K571" s="22"/>
      <c r="L571" s="22"/>
      <c r="M571" s="22"/>
      <c r="N571" s="22"/>
      <c r="O571" s="22"/>
      <c r="P571" s="22"/>
      <c r="Q571" s="27"/>
      <c r="R571" s="22"/>
      <c r="S571" s="22"/>
      <c r="T571" s="22"/>
      <c r="U571" s="22"/>
      <c r="V571" s="22"/>
      <c r="W571" s="22"/>
      <c r="X571" s="22"/>
      <c r="Y571" s="22"/>
      <c r="Z571" s="22"/>
      <c r="AA571" s="22"/>
      <c r="AB571" s="22"/>
    </row>
    <row r="572" spans="1:28" x14ac:dyDescent="0.3">
      <c r="A572" s="22"/>
      <c r="B572" s="22"/>
      <c r="C572" s="22"/>
      <c r="D572" s="22"/>
      <c r="E572" s="22"/>
      <c r="F572" s="22"/>
      <c r="G572" s="22"/>
      <c r="H572" s="22"/>
      <c r="I572" s="22"/>
      <c r="J572" s="22"/>
      <c r="K572" s="22"/>
      <c r="L572" s="22"/>
      <c r="M572" s="22"/>
      <c r="N572" s="22"/>
      <c r="O572" s="22"/>
      <c r="P572" s="22"/>
      <c r="Q572" s="27"/>
      <c r="R572" s="22"/>
      <c r="S572" s="22"/>
      <c r="T572" s="22"/>
      <c r="U572" s="22"/>
      <c r="V572" s="22"/>
      <c r="W572" s="22"/>
      <c r="X572" s="22"/>
      <c r="Y572" s="22"/>
      <c r="Z572" s="22"/>
      <c r="AA572" s="22"/>
      <c r="AB572" s="22"/>
    </row>
    <row r="573" spans="1:28" x14ac:dyDescent="0.3">
      <c r="A573" s="22"/>
      <c r="B573" s="22"/>
      <c r="C573" s="22"/>
      <c r="D573" s="22"/>
      <c r="E573" s="22"/>
      <c r="F573" s="22"/>
      <c r="G573" s="22"/>
      <c r="H573" s="22"/>
      <c r="I573" s="22"/>
      <c r="J573" s="22"/>
      <c r="K573" s="22"/>
      <c r="L573" s="22"/>
      <c r="M573" s="22"/>
      <c r="N573" s="22"/>
      <c r="O573" s="22"/>
      <c r="P573" s="22"/>
      <c r="Q573" s="27"/>
      <c r="R573" s="22"/>
      <c r="S573" s="22"/>
      <c r="T573" s="22"/>
      <c r="U573" s="22"/>
      <c r="V573" s="22"/>
      <c r="W573" s="22"/>
      <c r="X573" s="22"/>
      <c r="Y573" s="22"/>
      <c r="Z573" s="22"/>
      <c r="AA573" s="22"/>
      <c r="AB573" s="22"/>
    </row>
    <row r="574" spans="1:28" x14ac:dyDescent="0.3">
      <c r="A574" s="22"/>
      <c r="B574" s="22"/>
      <c r="C574" s="22"/>
      <c r="D574" s="22"/>
      <c r="E574" s="22"/>
      <c r="F574" s="22"/>
      <c r="G574" s="22"/>
      <c r="H574" s="22"/>
      <c r="I574" s="22"/>
      <c r="J574" s="22"/>
      <c r="K574" s="22"/>
      <c r="L574" s="22"/>
      <c r="M574" s="22"/>
      <c r="N574" s="22"/>
      <c r="O574" s="22"/>
      <c r="P574" s="22"/>
      <c r="Q574" s="27"/>
      <c r="R574" s="22"/>
      <c r="S574" s="22"/>
      <c r="T574" s="22"/>
      <c r="U574" s="22"/>
      <c r="V574" s="22"/>
      <c r="W574" s="22"/>
      <c r="X574" s="22"/>
      <c r="Y574" s="22"/>
      <c r="Z574" s="22"/>
      <c r="AA574" s="22"/>
      <c r="AB574" s="22"/>
    </row>
    <row r="575" spans="1:28" x14ac:dyDescent="0.3">
      <c r="A575" s="22"/>
      <c r="B575" s="22"/>
      <c r="C575" s="22"/>
      <c r="D575" s="22"/>
      <c r="E575" s="22"/>
      <c r="F575" s="22"/>
      <c r="G575" s="22"/>
      <c r="H575" s="22"/>
      <c r="I575" s="22"/>
      <c r="J575" s="22"/>
      <c r="K575" s="22"/>
      <c r="L575" s="22"/>
      <c r="M575" s="22"/>
      <c r="N575" s="22"/>
      <c r="O575" s="22"/>
      <c r="P575" s="22"/>
      <c r="Q575" s="27"/>
      <c r="R575" s="22"/>
      <c r="S575" s="22"/>
      <c r="T575" s="22"/>
      <c r="U575" s="22"/>
      <c r="V575" s="22"/>
      <c r="W575" s="22"/>
      <c r="X575" s="22"/>
      <c r="Y575" s="22"/>
      <c r="Z575" s="22"/>
      <c r="AA575" s="22"/>
      <c r="AB575" s="22"/>
    </row>
    <row r="576" spans="1:28" x14ac:dyDescent="0.3">
      <c r="A576" s="22"/>
      <c r="B576" s="22"/>
      <c r="C576" s="22"/>
      <c r="D576" s="22"/>
      <c r="E576" s="22"/>
      <c r="F576" s="22"/>
      <c r="G576" s="22"/>
      <c r="H576" s="22"/>
      <c r="I576" s="22"/>
      <c r="J576" s="22"/>
      <c r="K576" s="22"/>
      <c r="L576" s="22"/>
      <c r="M576" s="22"/>
      <c r="N576" s="22"/>
      <c r="O576" s="22"/>
      <c r="P576" s="22"/>
      <c r="Q576" s="27"/>
      <c r="R576" s="22"/>
      <c r="S576" s="22"/>
      <c r="T576" s="22"/>
      <c r="U576" s="22"/>
      <c r="V576" s="22"/>
      <c r="W576" s="22"/>
      <c r="X576" s="22"/>
      <c r="Y576" s="22"/>
      <c r="Z576" s="22"/>
      <c r="AA576" s="22"/>
      <c r="AB576" s="22"/>
    </row>
    <row r="577" spans="1:28" x14ac:dyDescent="0.3">
      <c r="A577" s="22"/>
      <c r="B577" s="22"/>
      <c r="C577" s="22"/>
      <c r="D577" s="22"/>
      <c r="E577" s="22"/>
      <c r="F577" s="22"/>
      <c r="G577" s="22"/>
      <c r="H577" s="22"/>
      <c r="I577" s="22"/>
      <c r="J577" s="22"/>
      <c r="K577" s="22"/>
      <c r="L577" s="22"/>
      <c r="M577" s="22"/>
      <c r="N577" s="22"/>
      <c r="O577" s="22"/>
      <c r="P577" s="22"/>
      <c r="Q577" s="27"/>
      <c r="R577" s="22"/>
      <c r="S577" s="22"/>
      <c r="T577" s="22"/>
      <c r="U577" s="22"/>
      <c r="V577" s="22"/>
      <c r="W577" s="22"/>
      <c r="X577" s="22"/>
      <c r="Y577" s="22"/>
      <c r="Z577" s="22"/>
      <c r="AA577" s="22"/>
      <c r="AB577" s="22"/>
    </row>
    <row r="578" spans="1:28" x14ac:dyDescent="0.3">
      <c r="A578" s="22"/>
      <c r="B578" s="22"/>
      <c r="C578" s="22"/>
      <c r="D578" s="22"/>
      <c r="E578" s="22"/>
      <c r="F578" s="22"/>
      <c r="G578" s="22"/>
      <c r="H578" s="22"/>
      <c r="I578" s="22"/>
      <c r="J578" s="22"/>
      <c r="K578" s="22"/>
      <c r="L578" s="22"/>
      <c r="M578" s="22"/>
      <c r="N578" s="22"/>
      <c r="O578" s="22"/>
      <c r="P578" s="22"/>
      <c r="Q578" s="27"/>
      <c r="R578" s="22"/>
      <c r="S578" s="22"/>
      <c r="T578" s="22"/>
      <c r="U578" s="22"/>
      <c r="V578" s="22"/>
      <c r="W578" s="22"/>
      <c r="X578" s="22"/>
      <c r="Y578" s="22"/>
      <c r="Z578" s="22"/>
      <c r="AA578" s="22"/>
      <c r="AB578" s="22"/>
    </row>
    <row r="579" spans="1:28" x14ac:dyDescent="0.3">
      <c r="A579" s="22"/>
      <c r="B579" s="22"/>
      <c r="C579" s="22"/>
      <c r="D579" s="22"/>
      <c r="E579" s="22"/>
      <c r="F579" s="22"/>
      <c r="G579" s="22"/>
      <c r="H579" s="22"/>
      <c r="I579" s="22"/>
      <c r="J579" s="22"/>
      <c r="K579" s="22"/>
      <c r="L579" s="22"/>
      <c r="M579" s="22"/>
      <c r="N579" s="22"/>
      <c r="O579" s="22"/>
      <c r="P579" s="22"/>
      <c r="Q579" s="27"/>
      <c r="R579" s="22"/>
      <c r="S579" s="22"/>
      <c r="T579" s="22"/>
      <c r="U579" s="22"/>
      <c r="V579" s="22"/>
      <c r="W579" s="22"/>
      <c r="X579" s="22"/>
      <c r="Y579" s="22"/>
      <c r="Z579" s="22"/>
      <c r="AA579" s="22"/>
      <c r="AB579" s="22"/>
    </row>
    <row r="580" spans="1:28" x14ac:dyDescent="0.3">
      <c r="A580" s="22"/>
      <c r="B580" s="22"/>
      <c r="C580" s="22"/>
      <c r="D580" s="22"/>
      <c r="E580" s="22"/>
      <c r="F580" s="22"/>
      <c r="G580" s="22"/>
      <c r="H580" s="22"/>
      <c r="I580" s="22"/>
      <c r="J580" s="22"/>
      <c r="K580" s="22"/>
      <c r="L580" s="22"/>
      <c r="M580" s="22"/>
      <c r="N580" s="22"/>
      <c r="O580" s="22"/>
      <c r="P580" s="22"/>
      <c r="Q580" s="27"/>
      <c r="R580" s="22"/>
      <c r="S580" s="22"/>
      <c r="T580" s="22"/>
      <c r="U580" s="22"/>
      <c r="V580" s="22"/>
      <c r="W580" s="22"/>
      <c r="X580" s="22"/>
      <c r="Y580" s="22"/>
      <c r="Z580" s="22"/>
      <c r="AA580" s="22"/>
      <c r="AB580" s="22"/>
    </row>
    <row r="581" spans="1:28" x14ac:dyDescent="0.3">
      <c r="A581" s="22"/>
      <c r="B581" s="22"/>
      <c r="C581" s="22"/>
      <c r="D581" s="22"/>
      <c r="E581" s="22"/>
      <c r="F581" s="22"/>
      <c r="G581" s="22"/>
      <c r="H581" s="22"/>
      <c r="I581" s="22"/>
      <c r="J581" s="22"/>
      <c r="K581" s="22"/>
      <c r="L581" s="22"/>
      <c r="M581" s="22"/>
      <c r="N581" s="22"/>
      <c r="O581" s="22"/>
      <c r="P581" s="22"/>
      <c r="Q581" s="27"/>
      <c r="R581" s="22"/>
      <c r="S581" s="22"/>
      <c r="T581" s="22"/>
      <c r="U581" s="22"/>
      <c r="V581" s="22"/>
      <c r="W581" s="22"/>
      <c r="X581" s="22"/>
      <c r="Y581" s="22"/>
      <c r="Z581" s="22"/>
      <c r="AA581" s="22"/>
      <c r="AB581" s="22"/>
    </row>
    <row r="582" spans="1:28" x14ac:dyDescent="0.3">
      <c r="A582" s="22"/>
      <c r="B582" s="22"/>
      <c r="C582" s="22"/>
      <c r="D582" s="22"/>
      <c r="E582" s="22"/>
      <c r="F582" s="22"/>
      <c r="G582" s="22"/>
      <c r="H582" s="22"/>
      <c r="I582" s="22"/>
      <c r="J582" s="22"/>
      <c r="K582" s="22"/>
      <c r="L582" s="22"/>
      <c r="M582" s="22"/>
      <c r="N582" s="22"/>
      <c r="O582" s="22"/>
      <c r="P582" s="22"/>
      <c r="Q582" s="27"/>
      <c r="R582" s="22"/>
      <c r="S582" s="22"/>
      <c r="T582" s="22"/>
      <c r="U582" s="22"/>
      <c r="V582" s="22"/>
      <c r="W582" s="22"/>
      <c r="X582" s="22"/>
      <c r="Y582" s="22"/>
      <c r="Z582" s="22"/>
      <c r="AA582" s="22"/>
      <c r="AB582" s="22"/>
    </row>
    <row r="583" spans="1:28" x14ac:dyDescent="0.3">
      <c r="A583" s="22"/>
      <c r="B583" s="22"/>
      <c r="C583" s="22"/>
      <c r="D583" s="22"/>
      <c r="E583" s="22"/>
      <c r="F583" s="22"/>
      <c r="G583" s="22"/>
      <c r="H583" s="22"/>
      <c r="I583" s="22"/>
      <c r="J583" s="22"/>
      <c r="K583" s="22"/>
      <c r="L583" s="22"/>
      <c r="M583" s="22"/>
      <c r="N583" s="22"/>
      <c r="O583" s="22"/>
      <c r="P583" s="22"/>
      <c r="Q583" s="27"/>
      <c r="R583" s="22"/>
      <c r="S583" s="22"/>
      <c r="T583" s="22"/>
      <c r="U583" s="22"/>
      <c r="V583" s="22"/>
      <c r="W583" s="22"/>
      <c r="X583" s="22"/>
      <c r="Y583" s="22"/>
      <c r="Z583" s="22"/>
      <c r="AA583" s="22"/>
      <c r="AB583" s="22"/>
    </row>
    <row r="584" spans="1:28" x14ac:dyDescent="0.3">
      <c r="A584" s="22"/>
      <c r="B584" s="22"/>
      <c r="C584" s="22"/>
      <c r="D584" s="22"/>
      <c r="E584" s="22"/>
      <c r="F584" s="22"/>
      <c r="G584" s="22"/>
      <c r="H584" s="22"/>
      <c r="I584" s="22"/>
      <c r="J584" s="22"/>
      <c r="K584" s="22"/>
      <c r="L584" s="22"/>
      <c r="M584" s="22"/>
      <c r="N584" s="22"/>
      <c r="O584" s="22"/>
      <c r="P584" s="22"/>
      <c r="Q584" s="27"/>
      <c r="R584" s="22"/>
      <c r="S584" s="22"/>
      <c r="T584" s="22"/>
      <c r="U584" s="22"/>
      <c r="V584" s="22"/>
      <c r="W584" s="22"/>
      <c r="X584" s="22"/>
      <c r="Y584" s="22"/>
      <c r="Z584" s="22"/>
      <c r="AA584" s="22"/>
      <c r="AB584" s="22"/>
    </row>
    <row r="585" spans="1:28" x14ac:dyDescent="0.3">
      <c r="A585" s="22"/>
      <c r="B585" s="22"/>
      <c r="C585" s="22"/>
      <c r="D585" s="22"/>
      <c r="E585" s="22"/>
      <c r="F585" s="22"/>
      <c r="G585" s="22"/>
      <c r="H585" s="22"/>
      <c r="I585" s="22"/>
      <c r="J585" s="22"/>
      <c r="K585" s="22"/>
      <c r="L585" s="22"/>
      <c r="M585" s="22"/>
      <c r="N585" s="22"/>
      <c r="O585" s="22"/>
      <c r="P585" s="22"/>
      <c r="Q585" s="27"/>
      <c r="R585" s="22"/>
      <c r="S585" s="22"/>
      <c r="T585" s="22"/>
      <c r="U585" s="22"/>
      <c r="V585" s="22"/>
      <c r="W585" s="22"/>
      <c r="X585" s="22"/>
      <c r="Y585" s="22"/>
      <c r="Z585" s="22"/>
      <c r="AA585" s="22"/>
      <c r="AB585" s="22"/>
    </row>
    <row r="586" spans="1:28" x14ac:dyDescent="0.3">
      <c r="A586" s="22"/>
      <c r="B586" s="22"/>
      <c r="C586" s="22"/>
      <c r="D586" s="22"/>
      <c r="E586" s="22"/>
      <c r="F586" s="22"/>
      <c r="G586" s="22"/>
      <c r="H586" s="22"/>
      <c r="I586" s="22"/>
      <c r="J586" s="22"/>
      <c r="K586" s="22"/>
      <c r="L586" s="22"/>
      <c r="M586" s="22"/>
      <c r="N586" s="22"/>
      <c r="O586" s="22"/>
      <c r="P586" s="22"/>
      <c r="Q586" s="27"/>
      <c r="R586" s="22"/>
      <c r="S586" s="22"/>
      <c r="T586" s="22"/>
      <c r="U586" s="22"/>
      <c r="V586" s="22"/>
      <c r="W586" s="22"/>
      <c r="X586" s="22"/>
      <c r="Y586" s="22"/>
      <c r="Z586" s="22"/>
      <c r="AA586" s="22"/>
      <c r="AB586" s="22"/>
    </row>
    <row r="587" spans="1:28" x14ac:dyDescent="0.3">
      <c r="A587" s="22"/>
      <c r="B587" s="22"/>
      <c r="C587" s="22"/>
      <c r="D587" s="22"/>
      <c r="E587" s="22"/>
      <c r="F587" s="22"/>
      <c r="G587" s="22"/>
      <c r="H587" s="22"/>
      <c r="I587" s="22"/>
      <c r="J587" s="22"/>
      <c r="K587" s="22"/>
      <c r="L587" s="22"/>
      <c r="M587" s="22"/>
      <c r="N587" s="22"/>
      <c r="O587" s="22"/>
      <c r="P587" s="22"/>
      <c r="Q587" s="27"/>
      <c r="R587" s="22"/>
      <c r="S587" s="22"/>
      <c r="T587" s="22"/>
      <c r="U587" s="22"/>
      <c r="V587" s="22"/>
      <c r="W587" s="22"/>
      <c r="X587" s="22"/>
      <c r="Y587" s="22"/>
      <c r="Z587" s="22"/>
      <c r="AA587" s="22"/>
      <c r="AB587" s="22"/>
    </row>
    <row r="588" spans="1:28" x14ac:dyDescent="0.3">
      <c r="A588" s="22"/>
      <c r="B588" s="22"/>
      <c r="C588" s="22"/>
      <c r="D588" s="22"/>
      <c r="E588" s="22"/>
      <c r="F588" s="22"/>
      <c r="G588" s="22"/>
      <c r="H588" s="22"/>
      <c r="I588" s="22"/>
      <c r="J588" s="22"/>
      <c r="K588" s="22"/>
      <c r="L588" s="22"/>
      <c r="M588" s="22"/>
      <c r="N588" s="22"/>
      <c r="O588" s="22"/>
      <c r="P588" s="22"/>
      <c r="Q588" s="27"/>
      <c r="R588" s="22"/>
      <c r="S588" s="22"/>
      <c r="T588" s="22"/>
      <c r="U588" s="22"/>
      <c r="V588" s="22"/>
      <c r="W588" s="22"/>
      <c r="X588" s="22"/>
      <c r="Y588" s="22"/>
      <c r="Z588" s="22"/>
      <c r="AA588" s="22"/>
      <c r="AB588" s="22"/>
    </row>
    <row r="589" spans="1:28" x14ac:dyDescent="0.3">
      <c r="A589" s="22"/>
      <c r="B589" s="22"/>
      <c r="C589" s="22"/>
      <c r="D589" s="22"/>
      <c r="E589" s="22"/>
      <c r="F589" s="22"/>
      <c r="G589" s="22"/>
      <c r="H589" s="22"/>
      <c r="I589" s="22"/>
      <c r="J589" s="22"/>
      <c r="K589" s="22"/>
      <c r="L589" s="22"/>
      <c r="M589" s="22"/>
      <c r="N589" s="22"/>
      <c r="O589" s="22"/>
      <c r="P589" s="22"/>
      <c r="Q589" s="27"/>
      <c r="R589" s="22"/>
      <c r="S589" s="22"/>
      <c r="T589" s="22"/>
      <c r="U589" s="22"/>
      <c r="V589" s="22"/>
      <c r="W589" s="22"/>
      <c r="X589" s="22"/>
      <c r="Y589" s="22"/>
      <c r="Z589" s="22"/>
      <c r="AA589" s="22"/>
      <c r="AB589" s="22"/>
    </row>
    <row r="590" spans="1:28" x14ac:dyDescent="0.3">
      <c r="A590" s="22"/>
      <c r="B590" s="22"/>
      <c r="C590" s="22"/>
      <c r="D590" s="22"/>
      <c r="E590" s="22"/>
      <c r="F590" s="22"/>
      <c r="G590" s="22"/>
      <c r="H590" s="22"/>
      <c r="I590" s="22"/>
      <c r="J590" s="22"/>
      <c r="K590" s="22"/>
      <c r="L590" s="22"/>
      <c r="M590" s="22"/>
      <c r="N590" s="22"/>
      <c r="O590" s="22"/>
      <c r="P590" s="22"/>
      <c r="Q590" s="27"/>
      <c r="R590" s="22"/>
      <c r="S590" s="22"/>
      <c r="T590" s="22"/>
      <c r="U590" s="22"/>
      <c r="V590" s="22"/>
      <c r="W590" s="22"/>
      <c r="X590" s="22"/>
      <c r="Y590" s="22"/>
      <c r="Z590" s="22"/>
      <c r="AA590" s="22"/>
      <c r="AB590" s="22"/>
    </row>
    <row r="591" spans="1:28" x14ac:dyDescent="0.3">
      <c r="A591" s="22"/>
      <c r="B591" s="22"/>
      <c r="C591" s="22"/>
      <c r="D591" s="22"/>
      <c r="E591" s="22"/>
      <c r="F591" s="22"/>
      <c r="G591" s="22"/>
      <c r="H591" s="22"/>
      <c r="I591" s="22"/>
      <c r="J591" s="22"/>
      <c r="K591" s="22"/>
      <c r="L591" s="22"/>
      <c r="M591" s="22"/>
      <c r="N591" s="22"/>
      <c r="O591" s="22"/>
      <c r="P591" s="22"/>
      <c r="Q591" s="27"/>
      <c r="R591" s="22"/>
      <c r="S591" s="22"/>
      <c r="T591" s="22"/>
      <c r="U591" s="22"/>
      <c r="V591" s="22"/>
      <c r="W591" s="22"/>
      <c r="X591" s="22"/>
      <c r="Y591" s="22"/>
      <c r="Z591" s="22"/>
      <c r="AA591" s="22"/>
      <c r="AB591" s="22"/>
    </row>
    <row r="592" spans="1:28" x14ac:dyDescent="0.3">
      <c r="A592" s="22"/>
      <c r="B592" s="22"/>
      <c r="C592" s="22"/>
      <c r="D592" s="22"/>
      <c r="E592" s="22"/>
      <c r="F592" s="22"/>
      <c r="G592" s="22"/>
      <c r="H592" s="22"/>
      <c r="I592" s="22"/>
      <c r="J592" s="22"/>
      <c r="K592" s="22"/>
      <c r="L592" s="22"/>
      <c r="M592" s="22"/>
      <c r="N592" s="22"/>
      <c r="O592" s="22"/>
      <c r="P592" s="22"/>
      <c r="Q592" s="27"/>
      <c r="R592" s="22"/>
      <c r="S592" s="22"/>
      <c r="T592" s="22"/>
      <c r="U592" s="22"/>
      <c r="V592" s="22"/>
      <c r="W592" s="22"/>
      <c r="X592" s="22"/>
      <c r="Y592" s="22"/>
      <c r="Z592" s="22"/>
      <c r="AA592" s="22"/>
      <c r="AB592" s="22"/>
    </row>
    <row r="593" spans="1:28" x14ac:dyDescent="0.3">
      <c r="A593" s="22"/>
      <c r="B593" s="22"/>
      <c r="C593" s="22"/>
      <c r="D593" s="22"/>
      <c r="E593" s="22"/>
      <c r="F593" s="22"/>
      <c r="G593" s="22"/>
      <c r="H593" s="22"/>
      <c r="I593" s="22"/>
      <c r="J593" s="22"/>
      <c r="K593" s="22"/>
      <c r="L593" s="22"/>
      <c r="M593" s="22"/>
      <c r="N593" s="22"/>
      <c r="O593" s="22"/>
      <c r="P593" s="22"/>
      <c r="Q593" s="27"/>
      <c r="R593" s="22"/>
      <c r="S593" s="22"/>
      <c r="T593" s="22"/>
      <c r="U593" s="22"/>
      <c r="V593" s="22"/>
      <c r="W593" s="22"/>
      <c r="X593" s="22"/>
      <c r="Y593" s="22"/>
      <c r="Z593" s="22"/>
      <c r="AA593" s="22"/>
      <c r="AB593" s="22"/>
    </row>
    <row r="594" spans="1:28" x14ac:dyDescent="0.3">
      <c r="A594" s="22"/>
      <c r="B594" s="22"/>
      <c r="C594" s="22"/>
      <c r="D594" s="22"/>
      <c r="E594" s="22"/>
      <c r="F594" s="22"/>
      <c r="G594" s="22"/>
      <c r="H594" s="22"/>
      <c r="I594" s="22"/>
      <c r="J594" s="22"/>
      <c r="K594" s="22"/>
      <c r="L594" s="22"/>
      <c r="M594" s="22"/>
      <c r="N594" s="22"/>
      <c r="O594" s="22"/>
      <c r="P594" s="22"/>
      <c r="Q594" s="27"/>
      <c r="R594" s="22"/>
      <c r="S594" s="22"/>
      <c r="T594" s="22"/>
      <c r="U594" s="22"/>
      <c r="V594" s="22"/>
      <c r="W594" s="22"/>
      <c r="X594" s="22"/>
      <c r="Y594" s="22"/>
      <c r="Z594" s="22"/>
      <c r="AA594" s="22"/>
      <c r="AB594" s="22"/>
    </row>
    <row r="595" spans="1:28" x14ac:dyDescent="0.3">
      <c r="A595" s="22"/>
      <c r="B595" s="22"/>
      <c r="C595" s="22"/>
      <c r="D595" s="22"/>
      <c r="E595" s="22"/>
      <c r="F595" s="22"/>
      <c r="G595" s="22"/>
      <c r="H595" s="22"/>
      <c r="I595" s="22"/>
      <c r="J595" s="22"/>
      <c r="K595" s="22"/>
      <c r="L595" s="22"/>
      <c r="M595" s="22"/>
      <c r="N595" s="22"/>
      <c r="O595" s="22"/>
      <c r="P595" s="22"/>
      <c r="Q595" s="27"/>
      <c r="R595" s="22"/>
      <c r="S595" s="22"/>
      <c r="T595" s="22"/>
      <c r="U595" s="22"/>
      <c r="V595" s="22"/>
      <c r="W595" s="22"/>
      <c r="X595" s="22"/>
      <c r="Y595" s="22"/>
      <c r="Z595" s="22"/>
      <c r="AA595" s="22"/>
      <c r="AB595" s="22"/>
    </row>
    <row r="596" spans="1:28" x14ac:dyDescent="0.3">
      <c r="A596" s="22"/>
      <c r="B596" s="22"/>
      <c r="C596" s="22"/>
      <c r="D596" s="22"/>
      <c r="E596" s="22"/>
      <c r="F596" s="22"/>
      <c r="G596" s="22"/>
      <c r="H596" s="22"/>
      <c r="I596" s="22"/>
      <c r="J596" s="22"/>
      <c r="K596" s="22"/>
      <c r="L596" s="22"/>
      <c r="M596" s="22"/>
      <c r="N596" s="22"/>
      <c r="O596" s="22"/>
      <c r="P596" s="22"/>
      <c r="Q596" s="27"/>
      <c r="R596" s="22"/>
      <c r="S596" s="22"/>
      <c r="T596" s="22"/>
      <c r="U596" s="22"/>
      <c r="V596" s="22"/>
      <c r="W596" s="22"/>
      <c r="X596" s="22"/>
      <c r="Y596" s="22"/>
      <c r="Z596" s="22"/>
      <c r="AA596" s="22"/>
      <c r="AB596" s="22"/>
    </row>
    <row r="597" spans="1:28" x14ac:dyDescent="0.3">
      <c r="A597" s="22"/>
      <c r="B597" s="22"/>
      <c r="C597" s="22"/>
      <c r="D597" s="22"/>
      <c r="E597" s="22"/>
      <c r="F597" s="22"/>
      <c r="G597" s="22"/>
      <c r="H597" s="22"/>
      <c r="I597" s="22"/>
      <c r="J597" s="22"/>
      <c r="K597" s="22"/>
      <c r="L597" s="22"/>
      <c r="M597" s="22"/>
      <c r="N597" s="22"/>
      <c r="O597" s="22"/>
      <c r="P597" s="22"/>
      <c r="Q597" s="27"/>
      <c r="R597" s="22"/>
      <c r="S597" s="22"/>
      <c r="T597" s="22"/>
      <c r="U597" s="22"/>
      <c r="V597" s="22"/>
      <c r="W597" s="22"/>
      <c r="X597" s="22"/>
      <c r="Y597" s="22"/>
      <c r="Z597" s="22"/>
      <c r="AA597" s="22"/>
      <c r="AB597" s="22"/>
    </row>
    <row r="598" spans="1:28" x14ac:dyDescent="0.3">
      <c r="A598" s="22"/>
      <c r="B598" s="22"/>
      <c r="C598" s="22"/>
      <c r="D598" s="22"/>
      <c r="E598" s="22"/>
      <c r="F598" s="22"/>
      <c r="G598" s="22"/>
      <c r="H598" s="22"/>
      <c r="I598" s="22"/>
      <c r="J598" s="22"/>
      <c r="K598" s="22"/>
      <c r="L598" s="22"/>
      <c r="M598" s="22"/>
      <c r="N598" s="22"/>
      <c r="O598" s="22"/>
      <c r="P598" s="22"/>
      <c r="Q598" s="27"/>
      <c r="R598" s="22"/>
      <c r="S598" s="22"/>
      <c r="T598" s="22"/>
      <c r="U598" s="22"/>
      <c r="V598" s="22"/>
      <c r="W598" s="22"/>
      <c r="X598" s="22"/>
      <c r="Y598" s="22"/>
      <c r="Z598" s="22"/>
      <c r="AA598" s="22"/>
      <c r="AB598" s="22"/>
    </row>
    <row r="599" spans="1:28" x14ac:dyDescent="0.3">
      <c r="A599" s="22"/>
      <c r="B599" s="22"/>
      <c r="C599" s="22"/>
      <c r="D599" s="22"/>
      <c r="E599" s="22"/>
      <c r="F599" s="22"/>
      <c r="G599" s="22"/>
      <c r="H599" s="22"/>
      <c r="I599" s="22"/>
      <c r="J599" s="22"/>
      <c r="K599" s="22"/>
      <c r="L599" s="22"/>
      <c r="M599" s="22"/>
      <c r="N599" s="22"/>
      <c r="O599" s="22"/>
      <c r="P599" s="22"/>
      <c r="Q599" s="27"/>
      <c r="R599" s="22"/>
      <c r="S599" s="22"/>
      <c r="T599" s="22"/>
      <c r="U599" s="22"/>
      <c r="V599" s="22"/>
      <c r="W599" s="22"/>
      <c r="X599" s="22"/>
      <c r="Y599" s="22"/>
      <c r="Z599" s="22"/>
      <c r="AA599" s="22"/>
      <c r="AB599" s="22"/>
    </row>
    <row r="600" spans="1:28" x14ac:dyDescent="0.3">
      <c r="A600" s="22"/>
      <c r="B600" s="22"/>
      <c r="C600" s="22"/>
      <c r="D600" s="22"/>
      <c r="E600" s="22"/>
      <c r="F600" s="22"/>
      <c r="G600" s="22"/>
      <c r="H600" s="22"/>
      <c r="I600" s="22"/>
      <c r="J600" s="22"/>
      <c r="K600" s="22"/>
      <c r="L600" s="22"/>
      <c r="M600" s="22"/>
      <c r="N600" s="22"/>
      <c r="O600" s="22"/>
      <c r="P600" s="22"/>
      <c r="Q600" s="27"/>
      <c r="R600" s="22"/>
      <c r="S600" s="22"/>
      <c r="T600" s="22"/>
      <c r="U600" s="22"/>
      <c r="V600" s="22"/>
      <c r="W600" s="22"/>
      <c r="X600" s="22"/>
      <c r="Y600" s="22"/>
      <c r="Z600" s="22"/>
      <c r="AA600" s="22"/>
      <c r="AB600" s="22"/>
    </row>
    <row r="601" spans="1:28" x14ac:dyDescent="0.3">
      <c r="A601" s="22"/>
      <c r="B601" s="22"/>
      <c r="C601" s="22"/>
      <c r="D601" s="22"/>
      <c r="E601" s="22"/>
      <c r="F601" s="22"/>
      <c r="G601" s="22"/>
      <c r="H601" s="22"/>
      <c r="I601" s="22"/>
      <c r="J601" s="22"/>
      <c r="K601" s="22"/>
      <c r="L601" s="22"/>
      <c r="M601" s="22"/>
      <c r="N601" s="22"/>
      <c r="O601" s="22"/>
      <c r="P601" s="22"/>
      <c r="Q601" s="27"/>
      <c r="R601" s="22"/>
      <c r="S601" s="22"/>
      <c r="T601" s="22"/>
      <c r="U601" s="22"/>
      <c r="V601" s="22"/>
      <c r="W601" s="22"/>
      <c r="X601" s="22"/>
      <c r="Y601" s="22"/>
      <c r="Z601" s="22"/>
      <c r="AA601" s="22"/>
      <c r="AB601" s="22"/>
    </row>
    <row r="602" spans="1:28" x14ac:dyDescent="0.3">
      <c r="A602" s="22"/>
      <c r="B602" s="22"/>
      <c r="C602" s="22"/>
      <c r="D602" s="22"/>
      <c r="E602" s="22"/>
      <c r="F602" s="22"/>
      <c r="G602" s="22"/>
      <c r="H602" s="22"/>
      <c r="I602" s="22"/>
      <c r="J602" s="22"/>
      <c r="K602" s="22"/>
      <c r="L602" s="22"/>
      <c r="M602" s="22"/>
      <c r="N602" s="22"/>
      <c r="O602" s="22"/>
      <c r="P602" s="22"/>
      <c r="Q602" s="27"/>
      <c r="R602" s="22"/>
      <c r="S602" s="22"/>
      <c r="T602" s="22"/>
      <c r="U602" s="22"/>
      <c r="V602" s="22"/>
      <c r="W602" s="22"/>
      <c r="X602" s="22"/>
      <c r="Y602" s="22"/>
      <c r="Z602" s="22"/>
      <c r="AA602" s="22"/>
      <c r="AB602" s="22"/>
    </row>
    <row r="603" spans="1:28" x14ac:dyDescent="0.3">
      <c r="A603" s="22"/>
      <c r="B603" s="22"/>
      <c r="C603" s="22"/>
      <c r="D603" s="22"/>
      <c r="E603" s="22"/>
      <c r="F603" s="22"/>
      <c r="G603" s="22"/>
      <c r="H603" s="22"/>
      <c r="I603" s="22"/>
      <c r="J603" s="22"/>
      <c r="K603" s="22"/>
      <c r="L603" s="22"/>
      <c r="M603" s="22"/>
      <c r="N603" s="22"/>
      <c r="O603" s="22"/>
      <c r="P603" s="22"/>
      <c r="Q603" s="27"/>
      <c r="R603" s="22"/>
      <c r="S603" s="22"/>
      <c r="T603" s="22"/>
      <c r="U603" s="22"/>
      <c r="V603" s="22"/>
      <c r="W603" s="22"/>
      <c r="X603" s="22"/>
      <c r="Y603" s="22"/>
      <c r="Z603" s="22"/>
      <c r="AA603" s="22"/>
      <c r="AB603" s="22"/>
    </row>
    <row r="604" spans="1:28" x14ac:dyDescent="0.3">
      <c r="A604" s="22"/>
      <c r="B604" s="22"/>
      <c r="C604" s="22"/>
      <c r="D604" s="22"/>
      <c r="E604" s="22"/>
      <c r="F604" s="22"/>
      <c r="G604" s="22"/>
      <c r="H604" s="22"/>
      <c r="I604" s="22"/>
      <c r="J604" s="22"/>
      <c r="K604" s="22"/>
      <c r="L604" s="22"/>
      <c r="M604" s="22"/>
      <c r="N604" s="22"/>
      <c r="O604" s="22"/>
      <c r="P604" s="22"/>
      <c r="Q604" s="27"/>
      <c r="R604" s="22"/>
      <c r="S604" s="22"/>
      <c r="T604" s="22"/>
      <c r="U604" s="22"/>
      <c r="V604" s="22"/>
      <c r="W604" s="22"/>
      <c r="X604" s="22"/>
      <c r="Y604" s="22"/>
      <c r="Z604" s="22"/>
      <c r="AA604" s="22"/>
      <c r="AB604" s="22"/>
    </row>
    <row r="605" spans="1:28" x14ac:dyDescent="0.3">
      <c r="A605" s="22"/>
      <c r="B605" s="22"/>
      <c r="C605" s="22"/>
      <c r="D605" s="22"/>
      <c r="E605" s="22"/>
      <c r="F605" s="22"/>
      <c r="G605" s="22"/>
      <c r="H605" s="22"/>
      <c r="I605" s="22"/>
      <c r="J605" s="22"/>
      <c r="K605" s="22"/>
      <c r="L605" s="22"/>
      <c r="M605" s="22"/>
      <c r="N605" s="22"/>
      <c r="O605" s="22"/>
      <c r="P605" s="22"/>
      <c r="Q605" s="27"/>
      <c r="R605" s="22"/>
      <c r="S605" s="22"/>
      <c r="T605" s="22"/>
      <c r="U605" s="22"/>
      <c r="V605" s="22"/>
      <c r="W605" s="22"/>
      <c r="X605" s="22"/>
      <c r="Y605" s="22"/>
      <c r="Z605" s="22"/>
      <c r="AA605" s="22"/>
      <c r="AB605" s="22"/>
    </row>
    <row r="606" spans="1:28" x14ac:dyDescent="0.3">
      <c r="A606" s="22"/>
      <c r="B606" s="22"/>
      <c r="C606" s="22"/>
      <c r="D606" s="22"/>
      <c r="E606" s="22"/>
      <c r="F606" s="22"/>
      <c r="G606" s="22"/>
      <c r="H606" s="22"/>
      <c r="I606" s="22"/>
      <c r="J606" s="22"/>
      <c r="K606" s="22"/>
      <c r="L606" s="22"/>
      <c r="M606" s="22"/>
      <c r="N606" s="22"/>
      <c r="O606" s="22"/>
      <c r="P606" s="22"/>
      <c r="Q606" s="27"/>
      <c r="R606" s="22"/>
      <c r="S606" s="22"/>
      <c r="T606" s="22"/>
      <c r="U606" s="22"/>
      <c r="V606" s="22"/>
      <c r="W606" s="22"/>
      <c r="X606" s="22"/>
      <c r="Y606" s="22"/>
      <c r="Z606" s="22"/>
      <c r="AA606" s="22"/>
      <c r="AB606" s="22"/>
    </row>
    <row r="607" spans="1:28" x14ac:dyDescent="0.3">
      <c r="A607" s="22"/>
      <c r="B607" s="22"/>
      <c r="C607" s="22"/>
      <c r="D607" s="22"/>
      <c r="E607" s="22"/>
      <c r="F607" s="22"/>
      <c r="G607" s="22"/>
      <c r="H607" s="22"/>
      <c r="I607" s="22"/>
      <c r="J607" s="22"/>
      <c r="K607" s="22"/>
      <c r="L607" s="22"/>
      <c r="M607" s="22"/>
      <c r="N607" s="22"/>
      <c r="O607" s="22"/>
      <c r="P607" s="22"/>
      <c r="Q607" s="27"/>
      <c r="R607" s="22"/>
      <c r="S607" s="22"/>
      <c r="T607" s="22"/>
      <c r="U607" s="22"/>
      <c r="V607" s="22"/>
      <c r="W607" s="22"/>
      <c r="X607" s="22"/>
      <c r="Y607" s="22"/>
      <c r="Z607" s="22"/>
      <c r="AA607" s="22"/>
      <c r="AB607" s="22"/>
    </row>
    <row r="608" spans="1:28" x14ac:dyDescent="0.3">
      <c r="A608" s="22"/>
      <c r="B608" s="22"/>
      <c r="C608" s="22"/>
      <c r="D608" s="22"/>
      <c r="E608" s="22"/>
      <c r="F608" s="22"/>
      <c r="G608" s="22"/>
      <c r="H608" s="22"/>
      <c r="I608" s="22"/>
      <c r="J608" s="22"/>
      <c r="K608" s="22"/>
      <c r="L608" s="22"/>
      <c r="M608" s="22"/>
      <c r="N608" s="22"/>
      <c r="O608" s="22"/>
      <c r="P608" s="22"/>
      <c r="Q608" s="27"/>
      <c r="R608" s="22"/>
      <c r="S608" s="22"/>
      <c r="T608" s="22"/>
      <c r="U608" s="22"/>
      <c r="V608" s="22"/>
      <c r="W608" s="22"/>
      <c r="X608" s="22"/>
      <c r="Y608" s="22"/>
      <c r="Z608" s="22"/>
      <c r="AA608" s="22"/>
      <c r="AB608" s="22"/>
    </row>
    <row r="609" spans="1:28" x14ac:dyDescent="0.3">
      <c r="A609" s="22"/>
      <c r="B609" s="22"/>
      <c r="C609" s="22"/>
      <c r="D609" s="22"/>
      <c r="E609" s="22"/>
      <c r="F609" s="22"/>
      <c r="G609" s="22"/>
      <c r="H609" s="22"/>
      <c r="I609" s="22"/>
      <c r="J609" s="22"/>
      <c r="K609" s="22"/>
      <c r="L609" s="22"/>
      <c r="M609" s="22"/>
      <c r="N609" s="22"/>
      <c r="O609" s="22"/>
      <c r="P609" s="22"/>
      <c r="Q609" s="27"/>
      <c r="R609" s="22"/>
      <c r="S609" s="22"/>
      <c r="T609" s="22"/>
      <c r="U609" s="22"/>
      <c r="V609" s="22"/>
      <c r="W609" s="22"/>
      <c r="X609" s="22"/>
      <c r="Y609" s="22"/>
      <c r="Z609" s="22"/>
      <c r="AA609" s="22"/>
      <c r="AB609" s="22"/>
    </row>
    <row r="610" spans="1:28" x14ac:dyDescent="0.3">
      <c r="A610" s="22"/>
      <c r="B610" s="22"/>
      <c r="C610" s="22"/>
      <c r="D610" s="22"/>
      <c r="E610" s="22"/>
      <c r="F610" s="22"/>
      <c r="G610" s="22"/>
      <c r="H610" s="22"/>
      <c r="I610" s="22"/>
      <c r="J610" s="22"/>
      <c r="K610" s="22"/>
      <c r="L610" s="22"/>
      <c r="M610" s="22"/>
      <c r="N610" s="22"/>
      <c r="O610" s="22"/>
      <c r="P610" s="22"/>
      <c r="Q610" s="27"/>
      <c r="R610" s="22"/>
      <c r="S610" s="22"/>
      <c r="T610" s="22"/>
      <c r="U610" s="22"/>
      <c r="V610" s="22"/>
      <c r="W610" s="22"/>
      <c r="X610" s="22"/>
      <c r="Y610" s="22"/>
      <c r="Z610" s="22"/>
      <c r="AA610" s="22"/>
      <c r="AB610" s="22"/>
    </row>
    <row r="611" spans="1:28" x14ac:dyDescent="0.3">
      <c r="A611" s="22"/>
      <c r="B611" s="22"/>
      <c r="C611" s="22"/>
      <c r="D611" s="22"/>
      <c r="E611" s="22"/>
      <c r="F611" s="22"/>
      <c r="G611" s="22"/>
      <c r="H611" s="22"/>
      <c r="I611" s="22"/>
      <c r="J611" s="22"/>
      <c r="K611" s="22"/>
      <c r="L611" s="22"/>
      <c r="M611" s="22"/>
      <c r="N611" s="22"/>
      <c r="O611" s="22"/>
      <c r="P611" s="22"/>
      <c r="Q611" s="27"/>
      <c r="R611" s="22"/>
      <c r="S611" s="22"/>
      <c r="T611" s="22"/>
      <c r="U611" s="22"/>
      <c r="V611" s="22"/>
      <c r="W611" s="22"/>
      <c r="X611" s="22"/>
      <c r="Y611" s="22"/>
      <c r="Z611" s="22"/>
      <c r="AA611" s="22"/>
      <c r="AB611" s="22"/>
    </row>
    <row r="612" spans="1:28" x14ac:dyDescent="0.3">
      <c r="A612" s="22"/>
      <c r="B612" s="22"/>
      <c r="C612" s="22"/>
      <c r="D612" s="22"/>
      <c r="E612" s="22"/>
      <c r="F612" s="22"/>
      <c r="G612" s="22"/>
      <c r="H612" s="22"/>
      <c r="I612" s="22"/>
      <c r="J612" s="22"/>
      <c r="K612" s="22"/>
      <c r="L612" s="22"/>
      <c r="M612" s="22"/>
      <c r="N612" s="22"/>
      <c r="O612" s="22"/>
      <c r="P612" s="22"/>
      <c r="Q612" s="27"/>
      <c r="R612" s="22"/>
      <c r="S612" s="22"/>
      <c r="T612" s="22"/>
      <c r="U612" s="22"/>
      <c r="V612" s="22"/>
      <c r="W612" s="22"/>
      <c r="X612" s="22"/>
      <c r="Y612" s="22"/>
      <c r="Z612" s="22"/>
      <c r="AA612" s="22"/>
      <c r="AB612" s="22"/>
    </row>
    <row r="613" spans="1:28" x14ac:dyDescent="0.3">
      <c r="A613" s="22"/>
      <c r="B613" s="22"/>
      <c r="C613" s="22"/>
      <c r="D613" s="22"/>
      <c r="E613" s="22"/>
      <c r="F613" s="22"/>
      <c r="G613" s="22"/>
      <c r="H613" s="22"/>
      <c r="I613" s="22"/>
      <c r="J613" s="22"/>
      <c r="K613" s="22"/>
      <c r="L613" s="22"/>
      <c r="M613" s="22"/>
      <c r="N613" s="22"/>
      <c r="O613" s="22"/>
      <c r="P613" s="22"/>
      <c r="Q613" s="27"/>
      <c r="R613" s="22"/>
      <c r="S613" s="22"/>
      <c r="T613" s="22"/>
      <c r="U613" s="22"/>
      <c r="V613" s="22"/>
      <c r="W613" s="22"/>
      <c r="X613" s="22"/>
      <c r="Y613" s="22"/>
      <c r="Z613" s="22"/>
      <c r="AA613" s="22"/>
      <c r="AB613" s="22"/>
    </row>
    <row r="614" spans="1:28" x14ac:dyDescent="0.3">
      <c r="A614" s="22"/>
      <c r="B614" s="22"/>
      <c r="C614" s="22"/>
      <c r="D614" s="22"/>
      <c r="E614" s="22"/>
      <c r="F614" s="22"/>
      <c r="G614" s="22"/>
      <c r="H614" s="22"/>
      <c r="I614" s="22"/>
      <c r="J614" s="22"/>
      <c r="K614" s="22"/>
      <c r="L614" s="22"/>
      <c r="M614" s="22"/>
      <c r="N614" s="22"/>
      <c r="O614" s="22"/>
      <c r="P614" s="22"/>
      <c r="Q614" s="27"/>
      <c r="R614" s="22"/>
      <c r="S614" s="22"/>
      <c r="T614" s="22"/>
      <c r="U614" s="22"/>
      <c r="V614" s="22"/>
      <c r="W614" s="22"/>
      <c r="X614" s="22"/>
      <c r="Y614" s="22"/>
      <c r="Z614" s="22"/>
      <c r="AA614" s="22"/>
      <c r="AB614" s="22"/>
    </row>
    <row r="615" spans="1:28" x14ac:dyDescent="0.3">
      <c r="A615" s="22"/>
      <c r="B615" s="22"/>
      <c r="C615" s="22"/>
      <c r="D615" s="22"/>
      <c r="E615" s="22"/>
      <c r="F615" s="22"/>
      <c r="G615" s="22"/>
      <c r="H615" s="22"/>
      <c r="I615" s="22"/>
      <c r="J615" s="22"/>
      <c r="K615" s="22"/>
      <c r="L615" s="22"/>
      <c r="M615" s="22"/>
      <c r="N615" s="22"/>
      <c r="O615" s="22"/>
      <c r="P615" s="22"/>
      <c r="Q615" s="27"/>
      <c r="R615" s="22"/>
      <c r="S615" s="22"/>
      <c r="T615" s="22"/>
      <c r="U615" s="22"/>
      <c r="V615" s="22"/>
      <c r="W615" s="22"/>
      <c r="X615" s="22"/>
      <c r="Y615" s="22"/>
      <c r="Z615" s="22"/>
      <c r="AA615" s="22"/>
      <c r="AB615" s="22"/>
    </row>
    <row r="616" spans="1:28" x14ac:dyDescent="0.3">
      <c r="A616" s="22"/>
      <c r="B616" s="22"/>
      <c r="C616" s="22"/>
      <c r="D616" s="22"/>
      <c r="E616" s="22"/>
      <c r="F616" s="22"/>
      <c r="G616" s="22"/>
      <c r="H616" s="22"/>
      <c r="I616" s="22"/>
      <c r="J616" s="22"/>
      <c r="K616" s="22"/>
      <c r="L616" s="22"/>
      <c r="M616" s="22"/>
      <c r="N616" s="22"/>
      <c r="O616" s="22"/>
      <c r="P616" s="22"/>
      <c r="Q616" s="27"/>
      <c r="R616" s="22"/>
      <c r="S616" s="22"/>
      <c r="T616" s="22"/>
      <c r="U616" s="22"/>
      <c r="V616" s="22"/>
      <c r="W616" s="22"/>
      <c r="X616" s="22"/>
      <c r="Y616" s="22"/>
      <c r="Z616" s="22"/>
      <c r="AA616" s="22"/>
      <c r="AB616" s="22"/>
    </row>
    <row r="617" spans="1:28" x14ac:dyDescent="0.3">
      <c r="A617" s="22"/>
      <c r="B617" s="22"/>
      <c r="C617" s="22"/>
      <c r="D617" s="22"/>
      <c r="E617" s="22"/>
      <c r="F617" s="22"/>
      <c r="G617" s="22"/>
      <c r="H617" s="22"/>
      <c r="I617" s="22"/>
      <c r="J617" s="22"/>
      <c r="K617" s="22"/>
      <c r="L617" s="22"/>
      <c r="M617" s="22"/>
      <c r="N617" s="22"/>
      <c r="O617" s="22"/>
      <c r="P617" s="22"/>
      <c r="Q617" s="27"/>
      <c r="R617" s="22"/>
      <c r="S617" s="22"/>
      <c r="T617" s="22"/>
      <c r="U617" s="22"/>
      <c r="V617" s="22"/>
      <c r="W617" s="22"/>
      <c r="X617" s="22"/>
      <c r="Y617" s="22"/>
      <c r="Z617" s="22"/>
      <c r="AA617" s="22"/>
      <c r="AB617" s="22"/>
    </row>
    <row r="618" spans="1:28" x14ac:dyDescent="0.3">
      <c r="A618" s="22"/>
      <c r="B618" s="22"/>
      <c r="C618" s="22"/>
      <c r="D618" s="22"/>
      <c r="E618" s="22"/>
      <c r="F618" s="22"/>
      <c r="G618" s="22"/>
      <c r="H618" s="22"/>
      <c r="I618" s="22"/>
      <c r="J618" s="22"/>
      <c r="K618" s="22"/>
      <c r="L618" s="22"/>
      <c r="M618" s="22"/>
      <c r="N618" s="22"/>
      <c r="O618" s="22"/>
      <c r="P618" s="22"/>
      <c r="Q618" s="27"/>
      <c r="R618" s="22"/>
      <c r="S618" s="22"/>
      <c r="T618" s="22"/>
      <c r="U618" s="22"/>
      <c r="V618" s="22"/>
      <c r="W618" s="22"/>
      <c r="X618" s="22"/>
      <c r="Y618" s="22"/>
      <c r="Z618" s="22"/>
      <c r="AA618" s="22"/>
      <c r="AB618" s="22"/>
    </row>
    <row r="619" spans="1:28" x14ac:dyDescent="0.3">
      <c r="A619" s="22"/>
      <c r="B619" s="22"/>
      <c r="C619" s="22"/>
      <c r="D619" s="22"/>
      <c r="E619" s="22"/>
      <c r="F619" s="22"/>
      <c r="G619" s="22"/>
      <c r="H619" s="22"/>
      <c r="I619" s="22"/>
      <c r="J619" s="22"/>
      <c r="K619" s="22"/>
      <c r="L619" s="22"/>
      <c r="M619" s="22"/>
      <c r="N619" s="22"/>
      <c r="O619" s="22"/>
      <c r="P619" s="22"/>
      <c r="Q619" s="27"/>
      <c r="R619" s="22"/>
      <c r="S619" s="22"/>
      <c r="T619" s="22"/>
      <c r="U619" s="22"/>
      <c r="V619" s="22"/>
      <c r="W619" s="22"/>
      <c r="X619" s="22"/>
      <c r="Y619" s="22"/>
      <c r="Z619" s="22"/>
      <c r="AA619" s="22"/>
      <c r="AB619" s="22"/>
    </row>
    <row r="620" spans="1:28" x14ac:dyDescent="0.3">
      <c r="A620" s="22"/>
      <c r="B620" s="22"/>
      <c r="C620" s="22"/>
      <c r="D620" s="22"/>
      <c r="E620" s="22"/>
      <c r="F620" s="22"/>
      <c r="G620" s="22"/>
      <c r="H620" s="22"/>
      <c r="I620" s="22"/>
      <c r="J620" s="22"/>
      <c r="K620" s="22"/>
      <c r="L620" s="22"/>
      <c r="M620" s="22"/>
      <c r="N620" s="22"/>
      <c r="O620" s="22"/>
      <c r="P620" s="22"/>
      <c r="Q620" s="27"/>
      <c r="R620" s="22"/>
      <c r="S620" s="22"/>
      <c r="T620" s="22"/>
      <c r="U620" s="22"/>
      <c r="V620" s="22"/>
      <c r="W620" s="22"/>
      <c r="X620" s="22"/>
      <c r="Y620" s="22"/>
      <c r="Z620" s="22"/>
      <c r="AA620" s="22"/>
      <c r="AB620" s="22"/>
    </row>
    <row r="621" spans="1:28" x14ac:dyDescent="0.3">
      <c r="A621" s="22"/>
      <c r="B621" s="22"/>
      <c r="C621" s="22"/>
      <c r="D621" s="22"/>
      <c r="E621" s="22"/>
      <c r="F621" s="22"/>
      <c r="G621" s="22"/>
      <c r="H621" s="22"/>
      <c r="I621" s="22"/>
      <c r="J621" s="22"/>
      <c r="K621" s="22"/>
      <c r="L621" s="22"/>
      <c r="M621" s="22"/>
      <c r="N621" s="22"/>
      <c r="O621" s="22"/>
      <c r="P621" s="22"/>
      <c r="Q621" s="27"/>
      <c r="R621" s="22"/>
      <c r="S621" s="22"/>
      <c r="T621" s="22"/>
      <c r="U621" s="22"/>
      <c r="V621" s="22"/>
      <c r="W621" s="22"/>
      <c r="X621" s="22"/>
      <c r="Y621" s="22"/>
      <c r="Z621" s="22"/>
      <c r="AA621" s="22"/>
      <c r="AB621" s="22"/>
    </row>
    <row r="622" spans="1:28" x14ac:dyDescent="0.3">
      <c r="A622" s="22"/>
      <c r="B622" s="22"/>
      <c r="C622" s="22"/>
      <c r="D622" s="22"/>
      <c r="E622" s="22"/>
      <c r="F622" s="22"/>
      <c r="G622" s="22"/>
      <c r="H622" s="22"/>
      <c r="I622" s="22"/>
      <c r="J622" s="22"/>
      <c r="K622" s="22"/>
      <c r="L622" s="22"/>
      <c r="M622" s="22"/>
      <c r="N622" s="22"/>
      <c r="O622" s="22"/>
      <c r="P622" s="22"/>
      <c r="Q622" s="27"/>
      <c r="R622" s="22"/>
      <c r="S622" s="22"/>
      <c r="T622" s="22"/>
      <c r="U622" s="22"/>
      <c r="V622" s="22"/>
      <c r="W622" s="22"/>
      <c r="X622" s="22"/>
      <c r="Y622" s="22"/>
      <c r="Z622" s="22"/>
      <c r="AA622" s="22"/>
      <c r="AB622" s="22"/>
    </row>
    <row r="623" spans="1:28" x14ac:dyDescent="0.3">
      <c r="A623" s="22"/>
      <c r="B623" s="22"/>
      <c r="C623" s="22"/>
      <c r="D623" s="22"/>
      <c r="E623" s="22"/>
      <c r="F623" s="22"/>
      <c r="G623" s="22"/>
      <c r="H623" s="22"/>
      <c r="I623" s="22"/>
      <c r="J623" s="22"/>
      <c r="K623" s="22"/>
      <c r="L623" s="22"/>
      <c r="M623" s="22"/>
      <c r="N623" s="22"/>
      <c r="O623" s="22"/>
      <c r="P623" s="22"/>
      <c r="Q623" s="27"/>
      <c r="R623" s="22"/>
      <c r="S623" s="22"/>
      <c r="T623" s="22"/>
      <c r="U623" s="22"/>
      <c r="V623" s="22"/>
      <c r="W623" s="22"/>
      <c r="X623" s="22"/>
      <c r="Y623" s="22"/>
      <c r="Z623" s="22"/>
      <c r="AA623" s="22"/>
      <c r="AB623" s="22"/>
    </row>
    <row r="624" spans="1:28" x14ac:dyDescent="0.3">
      <c r="A624" s="22"/>
      <c r="B624" s="22"/>
      <c r="C624" s="22"/>
      <c r="D624" s="22"/>
      <c r="E624" s="22"/>
      <c r="F624" s="22"/>
      <c r="G624" s="22"/>
      <c r="H624" s="22"/>
      <c r="I624" s="22"/>
      <c r="J624" s="22"/>
      <c r="K624" s="22"/>
      <c r="L624" s="22"/>
      <c r="M624" s="22"/>
      <c r="N624" s="22"/>
      <c r="O624" s="22"/>
      <c r="P624" s="22"/>
      <c r="Q624" s="27"/>
      <c r="R624" s="22"/>
      <c r="S624" s="22"/>
      <c r="T624" s="22"/>
      <c r="U624" s="22"/>
      <c r="V624" s="22"/>
      <c r="W624" s="22"/>
      <c r="X624" s="22"/>
      <c r="Y624" s="22"/>
      <c r="Z624" s="22"/>
      <c r="AA624" s="22"/>
      <c r="AB624" s="22"/>
    </row>
    <row r="625" spans="1:28" x14ac:dyDescent="0.3">
      <c r="A625" s="22"/>
      <c r="B625" s="22"/>
      <c r="C625" s="22"/>
      <c r="D625" s="22"/>
      <c r="E625" s="22"/>
      <c r="F625" s="22"/>
      <c r="G625" s="22"/>
      <c r="H625" s="22"/>
      <c r="I625" s="22"/>
      <c r="J625" s="22"/>
      <c r="K625" s="22"/>
      <c r="L625" s="22"/>
      <c r="M625" s="22"/>
      <c r="N625" s="22"/>
      <c r="O625" s="22"/>
      <c r="P625" s="22"/>
      <c r="Q625" s="27"/>
      <c r="R625" s="22"/>
      <c r="S625" s="22"/>
      <c r="T625" s="22"/>
      <c r="U625" s="22"/>
      <c r="V625" s="22"/>
      <c r="W625" s="22"/>
      <c r="X625" s="22"/>
      <c r="Y625" s="22"/>
      <c r="Z625" s="22"/>
      <c r="AA625" s="22"/>
      <c r="AB625" s="22"/>
    </row>
    <row r="626" spans="1:28" x14ac:dyDescent="0.3">
      <c r="A626" s="22"/>
      <c r="B626" s="22"/>
      <c r="C626" s="22"/>
      <c r="D626" s="22"/>
      <c r="E626" s="22"/>
      <c r="F626" s="22"/>
      <c r="G626" s="22"/>
      <c r="H626" s="22"/>
      <c r="I626" s="22"/>
      <c r="J626" s="22"/>
      <c r="K626" s="22"/>
      <c r="L626" s="22"/>
      <c r="M626" s="22"/>
      <c r="N626" s="22"/>
      <c r="O626" s="22"/>
      <c r="P626" s="22"/>
      <c r="Q626" s="27"/>
      <c r="R626" s="22"/>
      <c r="S626" s="22"/>
      <c r="T626" s="22"/>
      <c r="U626" s="22"/>
      <c r="V626" s="22"/>
      <c r="W626" s="22"/>
      <c r="X626" s="22"/>
      <c r="Y626" s="22"/>
      <c r="Z626" s="22"/>
      <c r="AA626" s="22"/>
      <c r="AB626" s="22"/>
    </row>
    <row r="627" spans="1:28" x14ac:dyDescent="0.3">
      <c r="A627" s="22"/>
      <c r="B627" s="22"/>
      <c r="C627" s="22"/>
      <c r="D627" s="22"/>
      <c r="E627" s="22"/>
      <c r="F627" s="22"/>
      <c r="G627" s="22"/>
      <c r="H627" s="22"/>
      <c r="I627" s="22"/>
      <c r="J627" s="22"/>
      <c r="K627" s="22"/>
      <c r="L627" s="22"/>
      <c r="M627" s="22"/>
      <c r="N627" s="22"/>
      <c r="O627" s="22"/>
      <c r="P627" s="22"/>
      <c r="Q627" s="27"/>
      <c r="R627" s="22"/>
      <c r="S627" s="22"/>
      <c r="T627" s="22"/>
      <c r="U627" s="22"/>
      <c r="V627" s="22"/>
      <c r="W627" s="22"/>
      <c r="X627" s="22"/>
      <c r="Y627" s="22"/>
      <c r="Z627" s="22"/>
      <c r="AA627" s="22"/>
      <c r="AB627" s="22"/>
    </row>
    <row r="628" spans="1:28" x14ac:dyDescent="0.3">
      <c r="A628" s="22"/>
      <c r="B628" s="22"/>
      <c r="C628" s="22"/>
      <c r="D628" s="22"/>
      <c r="E628" s="22"/>
      <c r="F628" s="22"/>
      <c r="G628" s="22"/>
      <c r="H628" s="22"/>
      <c r="I628" s="22"/>
      <c r="J628" s="22"/>
      <c r="K628" s="22"/>
      <c r="L628" s="22"/>
      <c r="M628" s="22"/>
      <c r="N628" s="22"/>
      <c r="O628" s="22"/>
      <c r="P628" s="22"/>
      <c r="Q628" s="27"/>
      <c r="R628" s="22"/>
      <c r="S628" s="22"/>
      <c r="T628" s="22"/>
      <c r="U628" s="22"/>
      <c r="V628" s="22"/>
      <c r="W628" s="22"/>
      <c r="X628" s="22"/>
      <c r="Y628" s="22"/>
      <c r="Z628" s="22"/>
      <c r="AA628" s="22"/>
      <c r="AB628" s="22"/>
    </row>
    <row r="629" spans="1:28" x14ac:dyDescent="0.3">
      <c r="A629" s="22"/>
      <c r="B629" s="22"/>
      <c r="C629" s="22"/>
      <c r="D629" s="22"/>
      <c r="E629" s="22"/>
      <c r="F629" s="22"/>
      <c r="G629" s="22"/>
      <c r="H629" s="22"/>
      <c r="I629" s="22"/>
      <c r="J629" s="22"/>
      <c r="K629" s="22"/>
      <c r="L629" s="22"/>
      <c r="M629" s="22"/>
      <c r="N629" s="22"/>
      <c r="O629" s="22"/>
      <c r="P629" s="22"/>
      <c r="Q629" s="27"/>
      <c r="R629" s="22"/>
      <c r="S629" s="22"/>
      <c r="T629" s="22"/>
      <c r="U629" s="22"/>
      <c r="V629" s="22"/>
      <c r="W629" s="22"/>
      <c r="X629" s="22"/>
      <c r="Y629" s="22"/>
      <c r="Z629" s="22"/>
      <c r="AA629" s="22"/>
      <c r="AB629" s="22"/>
    </row>
    <row r="630" spans="1:28" x14ac:dyDescent="0.3">
      <c r="A630" s="22"/>
      <c r="B630" s="22"/>
      <c r="C630" s="22"/>
      <c r="D630" s="22"/>
      <c r="E630" s="22"/>
      <c r="F630" s="22"/>
      <c r="G630" s="22"/>
      <c r="H630" s="22"/>
      <c r="I630" s="22"/>
      <c r="J630" s="22"/>
      <c r="K630" s="22"/>
      <c r="L630" s="22"/>
      <c r="M630" s="22"/>
      <c r="N630" s="22"/>
      <c r="O630" s="22"/>
      <c r="P630" s="22"/>
      <c r="Q630" s="27"/>
      <c r="R630" s="22"/>
      <c r="S630" s="22"/>
      <c r="T630" s="22"/>
      <c r="U630" s="22"/>
      <c r="V630" s="22"/>
      <c r="W630" s="22"/>
      <c r="X630" s="22"/>
      <c r="Y630" s="22"/>
      <c r="Z630" s="22"/>
      <c r="AA630" s="22"/>
      <c r="AB630" s="22"/>
    </row>
    <row r="631" spans="1:28" x14ac:dyDescent="0.3">
      <c r="A631" s="22"/>
      <c r="B631" s="22"/>
      <c r="C631" s="22"/>
      <c r="D631" s="22"/>
      <c r="E631" s="22"/>
      <c r="F631" s="22"/>
      <c r="G631" s="22"/>
      <c r="H631" s="22"/>
      <c r="I631" s="22"/>
      <c r="J631" s="22"/>
      <c r="K631" s="22"/>
      <c r="L631" s="22"/>
      <c r="M631" s="22"/>
      <c r="N631" s="22"/>
      <c r="O631" s="22"/>
      <c r="P631" s="22"/>
      <c r="Q631" s="27"/>
      <c r="R631" s="22"/>
      <c r="S631" s="22"/>
      <c r="T631" s="22"/>
      <c r="U631" s="22"/>
      <c r="V631" s="22"/>
      <c r="W631" s="22"/>
      <c r="X631" s="22"/>
      <c r="Y631" s="22"/>
      <c r="Z631" s="22"/>
      <c r="AA631" s="22"/>
      <c r="AB631" s="22"/>
    </row>
    <row r="632" spans="1:28" x14ac:dyDescent="0.3">
      <c r="A632" s="22"/>
      <c r="B632" s="22"/>
      <c r="C632" s="22"/>
      <c r="D632" s="22"/>
      <c r="E632" s="22"/>
      <c r="F632" s="22"/>
      <c r="G632" s="22"/>
      <c r="H632" s="22"/>
      <c r="I632" s="22"/>
      <c r="J632" s="22"/>
      <c r="K632" s="22"/>
      <c r="L632" s="22"/>
      <c r="M632" s="22"/>
      <c r="N632" s="22"/>
      <c r="O632" s="22"/>
      <c r="P632" s="22"/>
      <c r="Q632" s="27"/>
      <c r="R632" s="22"/>
      <c r="S632" s="22"/>
      <c r="T632" s="22"/>
      <c r="U632" s="22"/>
      <c r="V632" s="22"/>
      <c r="W632" s="22"/>
      <c r="X632" s="22"/>
      <c r="Y632" s="22"/>
      <c r="Z632" s="22"/>
      <c r="AA632" s="22"/>
      <c r="AB632" s="22"/>
    </row>
    <row r="633" spans="1:28" x14ac:dyDescent="0.3">
      <c r="A633" s="22"/>
      <c r="B633" s="22"/>
      <c r="C633" s="22"/>
      <c r="D633" s="22"/>
      <c r="E633" s="22"/>
      <c r="F633" s="22"/>
      <c r="G633" s="22"/>
      <c r="H633" s="22"/>
      <c r="I633" s="22"/>
      <c r="J633" s="22"/>
      <c r="K633" s="22"/>
      <c r="L633" s="22"/>
      <c r="M633" s="22"/>
      <c r="N633" s="22"/>
      <c r="O633" s="22"/>
      <c r="P633" s="22"/>
      <c r="Q633" s="27"/>
      <c r="R633" s="22"/>
      <c r="S633" s="22"/>
      <c r="T633" s="22"/>
      <c r="U633" s="22"/>
      <c r="V633" s="22"/>
      <c r="W633" s="22"/>
      <c r="X633" s="22"/>
      <c r="Y633" s="22"/>
      <c r="Z633" s="22"/>
      <c r="AA633" s="22"/>
      <c r="AB633" s="22"/>
    </row>
    <row r="634" spans="1:28" x14ac:dyDescent="0.3">
      <c r="A634" s="22"/>
      <c r="B634" s="22"/>
      <c r="C634" s="22"/>
      <c r="D634" s="22"/>
      <c r="E634" s="22"/>
      <c r="F634" s="22"/>
      <c r="G634" s="22"/>
      <c r="H634" s="22"/>
      <c r="I634" s="22"/>
      <c r="J634" s="22"/>
      <c r="K634" s="22"/>
      <c r="L634" s="22"/>
      <c r="M634" s="22"/>
      <c r="N634" s="22"/>
      <c r="O634" s="22"/>
      <c r="P634" s="22"/>
      <c r="Q634" s="27"/>
      <c r="R634" s="22"/>
      <c r="S634" s="22"/>
      <c r="T634" s="22"/>
      <c r="U634" s="22"/>
      <c r="V634" s="22"/>
      <c r="W634" s="22"/>
      <c r="X634" s="22"/>
      <c r="Y634" s="22"/>
      <c r="Z634" s="22"/>
      <c r="AA634" s="22"/>
      <c r="AB634" s="22"/>
    </row>
    <row r="635" spans="1:28" x14ac:dyDescent="0.3">
      <c r="A635" s="22"/>
      <c r="B635" s="22"/>
      <c r="C635" s="22"/>
      <c r="D635" s="22"/>
      <c r="E635" s="22"/>
      <c r="F635" s="22"/>
      <c r="G635" s="22"/>
      <c r="H635" s="22"/>
      <c r="I635" s="22"/>
      <c r="J635" s="22"/>
      <c r="K635" s="22"/>
      <c r="L635" s="22"/>
      <c r="M635" s="22"/>
      <c r="N635" s="22"/>
      <c r="O635" s="22"/>
      <c r="P635" s="22"/>
      <c r="Q635" s="27"/>
      <c r="R635" s="22"/>
      <c r="S635" s="22"/>
      <c r="T635" s="22"/>
      <c r="U635" s="22"/>
      <c r="V635" s="22"/>
      <c r="W635" s="22"/>
      <c r="X635" s="22"/>
      <c r="Y635" s="22"/>
      <c r="Z635" s="22"/>
      <c r="AA635" s="22"/>
      <c r="AB635" s="22"/>
    </row>
    <row r="636" spans="1:28" x14ac:dyDescent="0.3">
      <c r="A636" s="22"/>
      <c r="B636" s="22"/>
      <c r="C636" s="22"/>
      <c r="D636" s="22"/>
      <c r="E636" s="22"/>
      <c r="F636" s="22"/>
      <c r="G636" s="22"/>
      <c r="H636" s="22"/>
      <c r="I636" s="22"/>
      <c r="J636" s="22"/>
      <c r="K636" s="22"/>
      <c r="L636" s="22"/>
      <c r="M636" s="22"/>
      <c r="N636" s="22"/>
      <c r="O636" s="22"/>
      <c r="P636" s="22"/>
      <c r="Q636" s="27"/>
      <c r="R636" s="22"/>
      <c r="S636" s="22"/>
      <c r="T636" s="22"/>
      <c r="U636" s="22"/>
      <c r="V636" s="22"/>
      <c r="W636" s="22"/>
      <c r="X636" s="22"/>
      <c r="Y636" s="22"/>
      <c r="Z636" s="22"/>
      <c r="AA636" s="22"/>
      <c r="AB636" s="22"/>
    </row>
    <row r="637" spans="1:28" x14ac:dyDescent="0.3">
      <c r="A637" s="22"/>
      <c r="B637" s="22"/>
      <c r="C637" s="22"/>
      <c r="D637" s="22"/>
      <c r="E637" s="22"/>
      <c r="F637" s="22"/>
      <c r="G637" s="22"/>
      <c r="H637" s="22"/>
      <c r="I637" s="22"/>
      <c r="J637" s="22"/>
      <c r="K637" s="22"/>
      <c r="L637" s="22"/>
      <c r="M637" s="22"/>
      <c r="N637" s="22"/>
      <c r="O637" s="22"/>
      <c r="P637" s="22"/>
      <c r="Q637" s="27"/>
      <c r="R637" s="22"/>
      <c r="S637" s="22"/>
      <c r="T637" s="22"/>
      <c r="U637" s="22"/>
      <c r="V637" s="22"/>
      <c r="W637" s="22"/>
      <c r="X637" s="22"/>
      <c r="Y637" s="22"/>
      <c r="Z637" s="22"/>
      <c r="AA637" s="22"/>
      <c r="AB637" s="22"/>
    </row>
    <row r="638" spans="1:28" x14ac:dyDescent="0.3">
      <c r="A638" s="22"/>
      <c r="B638" s="22"/>
      <c r="C638" s="22"/>
      <c r="D638" s="22"/>
      <c r="E638" s="22"/>
      <c r="F638" s="22"/>
      <c r="G638" s="22"/>
      <c r="H638" s="22"/>
      <c r="I638" s="22"/>
      <c r="J638" s="22"/>
      <c r="K638" s="22"/>
      <c r="L638" s="22"/>
      <c r="M638" s="22"/>
      <c r="N638" s="22"/>
      <c r="O638" s="22"/>
      <c r="P638" s="22"/>
      <c r="Q638" s="27"/>
      <c r="R638" s="22"/>
      <c r="S638" s="22"/>
      <c r="T638" s="22"/>
      <c r="U638" s="22"/>
      <c r="V638" s="22"/>
      <c r="W638" s="22"/>
      <c r="X638" s="22"/>
      <c r="Y638" s="22"/>
      <c r="Z638" s="22"/>
      <c r="AA638" s="22"/>
      <c r="AB638" s="22"/>
    </row>
    <row r="639" spans="1:28" x14ac:dyDescent="0.3">
      <c r="A639" s="22"/>
      <c r="B639" s="22"/>
      <c r="C639" s="22"/>
      <c r="D639" s="22"/>
      <c r="E639" s="22"/>
      <c r="F639" s="22"/>
      <c r="G639" s="22"/>
      <c r="H639" s="22"/>
      <c r="I639" s="22"/>
      <c r="J639" s="22"/>
      <c r="K639" s="22"/>
      <c r="L639" s="22"/>
      <c r="M639" s="22"/>
      <c r="N639" s="22"/>
      <c r="O639" s="22"/>
      <c r="P639" s="22"/>
      <c r="Q639" s="27"/>
      <c r="R639" s="22"/>
      <c r="S639" s="22"/>
      <c r="T639" s="22"/>
      <c r="U639" s="22"/>
      <c r="V639" s="22"/>
      <c r="W639" s="22"/>
      <c r="X639" s="22"/>
      <c r="Y639" s="22"/>
      <c r="Z639" s="22"/>
      <c r="AA639" s="22"/>
      <c r="AB639" s="22"/>
    </row>
    <row r="640" spans="1:28" x14ac:dyDescent="0.3">
      <c r="A640" s="22"/>
      <c r="B640" s="22"/>
      <c r="C640" s="22"/>
      <c r="D640" s="22"/>
      <c r="E640" s="22"/>
      <c r="F640" s="22"/>
      <c r="G640" s="22"/>
      <c r="H640" s="22"/>
      <c r="I640" s="22"/>
      <c r="J640" s="22"/>
      <c r="K640" s="22"/>
      <c r="L640" s="22"/>
      <c r="M640" s="22"/>
      <c r="N640" s="22"/>
      <c r="O640" s="22"/>
      <c r="P640" s="22"/>
      <c r="Q640" s="27"/>
      <c r="R640" s="22"/>
      <c r="S640" s="22"/>
      <c r="T640" s="22"/>
      <c r="U640" s="22"/>
      <c r="V640" s="22"/>
      <c r="W640" s="22"/>
      <c r="X640" s="22"/>
      <c r="Y640" s="22"/>
      <c r="Z640" s="22"/>
      <c r="AA640" s="22"/>
      <c r="AB640" s="22"/>
    </row>
    <row r="641" spans="1:28" x14ac:dyDescent="0.3">
      <c r="A641" s="22"/>
      <c r="B641" s="22"/>
      <c r="C641" s="22"/>
      <c r="D641" s="22"/>
      <c r="E641" s="22"/>
      <c r="F641" s="22"/>
      <c r="G641" s="22"/>
      <c r="H641" s="22"/>
      <c r="I641" s="22"/>
      <c r="J641" s="22"/>
      <c r="K641" s="22"/>
      <c r="L641" s="22"/>
      <c r="M641" s="22"/>
      <c r="N641" s="22"/>
      <c r="O641" s="22"/>
      <c r="P641" s="22"/>
      <c r="Q641" s="27"/>
      <c r="R641" s="22"/>
      <c r="S641" s="22"/>
      <c r="T641" s="22"/>
      <c r="U641" s="22"/>
      <c r="V641" s="22"/>
      <c r="W641" s="22"/>
      <c r="X641" s="22"/>
      <c r="Y641" s="22"/>
      <c r="Z641" s="22"/>
      <c r="AA641" s="22"/>
      <c r="AB641" s="22"/>
    </row>
    <row r="642" spans="1:28" x14ac:dyDescent="0.3">
      <c r="A642" s="22"/>
      <c r="B642" s="22"/>
      <c r="C642" s="22"/>
      <c r="D642" s="22"/>
      <c r="E642" s="22"/>
      <c r="F642" s="22"/>
      <c r="G642" s="22"/>
      <c r="H642" s="22"/>
      <c r="I642" s="22"/>
      <c r="J642" s="22"/>
      <c r="K642" s="22"/>
      <c r="L642" s="22"/>
      <c r="M642" s="22"/>
      <c r="N642" s="22"/>
      <c r="O642" s="22"/>
      <c r="P642" s="22"/>
      <c r="Q642" s="27"/>
      <c r="R642" s="22"/>
      <c r="S642" s="22"/>
      <c r="T642" s="22"/>
      <c r="U642" s="22"/>
      <c r="V642" s="22"/>
      <c r="W642" s="22"/>
      <c r="X642" s="22"/>
      <c r="Y642" s="22"/>
      <c r="Z642" s="22"/>
      <c r="AA642" s="22"/>
      <c r="AB642" s="22"/>
    </row>
    <row r="643" spans="1:28" x14ac:dyDescent="0.3">
      <c r="A643" s="22"/>
      <c r="B643" s="22"/>
      <c r="C643" s="22"/>
      <c r="D643" s="22"/>
      <c r="E643" s="22"/>
      <c r="F643" s="22"/>
      <c r="G643" s="22"/>
      <c r="H643" s="22"/>
      <c r="I643" s="22"/>
      <c r="J643" s="22"/>
      <c r="K643" s="22"/>
      <c r="L643" s="22"/>
      <c r="M643" s="22"/>
      <c r="N643" s="22"/>
      <c r="O643" s="22"/>
      <c r="P643" s="22"/>
      <c r="Q643" s="27"/>
      <c r="R643" s="22"/>
      <c r="S643" s="22"/>
      <c r="T643" s="22"/>
      <c r="U643" s="22"/>
      <c r="V643" s="22"/>
      <c r="W643" s="22"/>
      <c r="X643" s="22"/>
      <c r="Y643" s="22"/>
      <c r="Z643" s="22"/>
      <c r="AA643" s="22"/>
      <c r="AB643" s="22"/>
    </row>
    <row r="644" spans="1:28" x14ac:dyDescent="0.3">
      <c r="A644" s="22"/>
      <c r="B644" s="22"/>
      <c r="C644" s="22"/>
      <c r="D644" s="22"/>
      <c r="E644" s="22"/>
      <c r="F644" s="22"/>
      <c r="G644" s="22"/>
      <c r="H644" s="22"/>
      <c r="I644" s="22"/>
      <c r="J644" s="22"/>
      <c r="K644" s="22"/>
      <c r="L644" s="22"/>
      <c r="M644" s="22"/>
      <c r="N644" s="22"/>
      <c r="O644" s="22"/>
      <c r="P644" s="22"/>
      <c r="Q644" s="27"/>
      <c r="R644" s="22"/>
      <c r="S644" s="22"/>
      <c r="T644" s="22"/>
      <c r="U644" s="22"/>
      <c r="V644" s="22"/>
      <c r="W644" s="22"/>
      <c r="X644" s="22"/>
      <c r="Y644" s="22"/>
      <c r="Z644" s="22"/>
      <c r="AA644" s="22"/>
      <c r="AB644" s="22"/>
    </row>
    <row r="645" spans="1:28" x14ac:dyDescent="0.3">
      <c r="A645" s="22"/>
      <c r="B645" s="22"/>
      <c r="C645" s="22"/>
      <c r="D645" s="22"/>
      <c r="E645" s="22"/>
      <c r="F645" s="22"/>
      <c r="G645" s="22"/>
      <c r="H645" s="22"/>
      <c r="I645" s="22"/>
      <c r="J645" s="22"/>
      <c r="K645" s="22"/>
      <c r="L645" s="22"/>
      <c r="M645" s="22"/>
      <c r="N645" s="22"/>
      <c r="O645" s="22"/>
      <c r="P645" s="22"/>
      <c r="Q645" s="27"/>
      <c r="R645" s="22"/>
      <c r="S645" s="22"/>
      <c r="T645" s="22"/>
      <c r="U645" s="22"/>
      <c r="V645" s="22"/>
      <c r="W645" s="22"/>
      <c r="X645" s="22"/>
      <c r="Y645" s="22"/>
      <c r="Z645" s="22"/>
      <c r="AA645" s="22"/>
      <c r="AB645" s="22"/>
    </row>
    <row r="646" spans="1:28" x14ac:dyDescent="0.3">
      <c r="A646" s="22"/>
      <c r="B646" s="22"/>
      <c r="C646" s="22"/>
      <c r="D646" s="22"/>
      <c r="E646" s="22"/>
      <c r="F646" s="22"/>
      <c r="G646" s="22"/>
      <c r="H646" s="22"/>
      <c r="I646" s="22"/>
      <c r="J646" s="22"/>
      <c r="K646" s="22"/>
      <c r="L646" s="22"/>
      <c r="M646" s="22"/>
      <c r="N646" s="22"/>
      <c r="O646" s="22"/>
      <c r="P646" s="22"/>
      <c r="Q646" s="27"/>
      <c r="R646" s="22"/>
      <c r="S646" s="22"/>
      <c r="T646" s="22"/>
      <c r="U646" s="22"/>
      <c r="V646" s="22"/>
      <c r="W646" s="22"/>
      <c r="X646" s="22"/>
      <c r="Y646" s="22"/>
      <c r="Z646" s="22"/>
      <c r="AA646" s="22"/>
      <c r="AB646" s="22"/>
    </row>
    <row r="647" spans="1:28" x14ac:dyDescent="0.3">
      <c r="A647" s="22"/>
      <c r="B647" s="22"/>
      <c r="C647" s="22"/>
      <c r="D647" s="22"/>
      <c r="E647" s="22"/>
      <c r="F647" s="22"/>
      <c r="G647" s="22"/>
      <c r="H647" s="22"/>
      <c r="I647" s="22"/>
      <c r="J647" s="22"/>
      <c r="K647" s="22"/>
      <c r="L647" s="22"/>
      <c r="M647" s="22"/>
      <c r="N647" s="22"/>
      <c r="O647" s="22"/>
      <c r="P647" s="22"/>
      <c r="Q647" s="27"/>
      <c r="R647" s="22"/>
      <c r="S647" s="22"/>
      <c r="T647" s="22"/>
      <c r="U647" s="22"/>
      <c r="V647" s="22"/>
      <c r="W647" s="22"/>
      <c r="X647" s="22"/>
      <c r="Y647" s="22"/>
      <c r="Z647" s="22"/>
      <c r="AA647" s="22"/>
      <c r="AB647" s="22"/>
    </row>
    <row r="648" spans="1:28" x14ac:dyDescent="0.3">
      <c r="A648" s="22"/>
      <c r="B648" s="22"/>
      <c r="C648" s="22"/>
      <c r="D648" s="22"/>
      <c r="E648" s="22"/>
      <c r="F648" s="22"/>
      <c r="G648" s="22"/>
      <c r="H648" s="22"/>
      <c r="I648" s="22"/>
      <c r="J648" s="22"/>
      <c r="K648" s="22"/>
      <c r="L648" s="22"/>
      <c r="M648" s="22"/>
      <c r="N648" s="22"/>
      <c r="O648" s="22"/>
      <c r="P648" s="22"/>
      <c r="Q648" s="27"/>
      <c r="R648" s="22"/>
      <c r="S648" s="22"/>
      <c r="T648" s="22"/>
      <c r="U648" s="22"/>
      <c r="V648" s="22"/>
      <c r="W648" s="22"/>
      <c r="X648" s="22"/>
      <c r="Y648" s="22"/>
      <c r="Z648" s="22"/>
      <c r="AA648" s="22"/>
      <c r="AB648" s="22"/>
    </row>
    <row r="649" spans="1:28" x14ac:dyDescent="0.3">
      <c r="A649" s="22"/>
      <c r="B649" s="22"/>
      <c r="C649" s="22"/>
      <c r="D649" s="22"/>
      <c r="E649" s="22"/>
      <c r="F649" s="22"/>
      <c r="G649" s="22"/>
      <c r="H649" s="22"/>
      <c r="I649" s="22"/>
      <c r="J649" s="22"/>
      <c r="K649" s="22"/>
      <c r="L649" s="22"/>
      <c r="M649" s="22"/>
      <c r="N649" s="22"/>
      <c r="O649" s="22"/>
      <c r="P649" s="22"/>
      <c r="Q649" s="27"/>
      <c r="R649" s="22"/>
      <c r="S649" s="22"/>
      <c r="T649" s="22"/>
      <c r="U649" s="22"/>
      <c r="V649" s="22"/>
      <c r="W649" s="22"/>
      <c r="X649" s="22"/>
      <c r="Y649" s="22"/>
      <c r="Z649" s="22"/>
      <c r="AA649" s="22"/>
      <c r="AB649" s="22"/>
    </row>
    <row r="650" spans="1:28" x14ac:dyDescent="0.3">
      <c r="A650" s="22"/>
      <c r="B650" s="22"/>
      <c r="C650" s="22"/>
      <c r="D650" s="22"/>
      <c r="E650" s="22"/>
      <c r="F650" s="22"/>
      <c r="G650" s="22"/>
      <c r="H650" s="22"/>
      <c r="I650" s="22"/>
      <c r="J650" s="22"/>
      <c r="K650" s="22"/>
      <c r="L650" s="22"/>
      <c r="M650" s="22"/>
      <c r="N650" s="22"/>
      <c r="O650" s="22"/>
      <c r="P650" s="22"/>
      <c r="Q650" s="27"/>
      <c r="R650" s="22"/>
      <c r="S650" s="22"/>
      <c r="T650" s="22"/>
      <c r="U650" s="22"/>
      <c r="V650" s="22"/>
      <c r="W650" s="22"/>
      <c r="X650" s="22"/>
      <c r="Y650" s="22"/>
      <c r="Z650" s="22"/>
      <c r="AA650" s="22"/>
      <c r="AB650" s="22"/>
    </row>
    <row r="651" spans="1:28" x14ac:dyDescent="0.3">
      <c r="A651" s="22"/>
      <c r="B651" s="22"/>
      <c r="C651" s="22"/>
      <c r="D651" s="22"/>
      <c r="E651" s="22"/>
      <c r="F651" s="22"/>
      <c r="G651" s="22"/>
      <c r="H651" s="22"/>
      <c r="I651" s="22"/>
      <c r="J651" s="22"/>
      <c r="K651" s="22"/>
      <c r="L651" s="22"/>
      <c r="M651" s="22"/>
      <c r="N651" s="22"/>
      <c r="O651" s="22"/>
      <c r="P651" s="22"/>
      <c r="Q651" s="27"/>
      <c r="R651" s="22"/>
      <c r="S651" s="22"/>
      <c r="T651" s="22"/>
      <c r="U651" s="22"/>
      <c r="V651" s="22"/>
      <c r="W651" s="22"/>
      <c r="X651" s="22"/>
      <c r="Y651" s="22"/>
      <c r="Z651" s="22"/>
      <c r="AA651" s="22"/>
      <c r="AB651" s="22"/>
    </row>
    <row r="652" spans="1:28" x14ac:dyDescent="0.3">
      <c r="A652" s="22"/>
      <c r="B652" s="22"/>
      <c r="C652" s="22"/>
      <c r="D652" s="22"/>
      <c r="E652" s="22"/>
      <c r="F652" s="22"/>
      <c r="G652" s="22"/>
      <c r="H652" s="22"/>
      <c r="I652" s="22"/>
      <c r="J652" s="22"/>
      <c r="K652" s="22"/>
      <c r="L652" s="22"/>
      <c r="M652" s="22"/>
      <c r="N652" s="22"/>
      <c r="O652" s="22"/>
      <c r="P652" s="22"/>
      <c r="Q652" s="27"/>
      <c r="R652" s="22"/>
      <c r="S652" s="22"/>
      <c r="T652" s="22"/>
      <c r="U652" s="22"/>
      <c r="V652" s="22"/>
      <c r="W652" s="22"/>
      <c r="X652" s="22"/>
      <c r="Y652" s="22"/>
      <c r="Z652" s="22"/>
      <c r="AA652" s="22"/>
      <c r="AB652" s="22"/>
    </row>
    <row r="653" spans="1:28" x14ac:dyDescent="0.3">
      <c r="A653" s="22"/>
      <c r="B653" s="22"/>
      <c r="C653" s="22"/>
      <c r="D653" s="22"/>
      <c r="E653" s="22"/>
      <c r="F653" s="22"/>
      <c r="G653" s="22"/>
      <c r="H653" s="22"/>
      <c r="I653" s="22"/>
      <c r="J653" s="22"/>
      <c r="K653" s="22"/>
      <c r="L653" s="22"/>
      <c r="M653" s="22"/>
      <c r="N653" s="22"/>
      <c r="O653" s="22"/>
      <c r="P653" s="22"/>
      <c r="Q653" s="27"/>
      <c r="R653" s="22"/>
      <c r="S653" s="22"/>
      <c r="T653" s="22"/>
      <c r="U653" s="22"/>
      <c r="V653" s="22"/>
      <c r="W653" s="22"/>
      <c r="X653" s="22"/>
      <c r="Y653" s="22"/>
      <c r="Z653" s="22"/>
      <c r="AA653" s="22"/>
      <c r="AB653" s="22"/>
    </row>
    <row r="654" spans="1:28" x14ac:dyDescent="0.3">
      <c r="A654" s="22"/>
      <c r="B654" s="22"/>
      <c r="C654" s="22"/>
      <c r="D654" s="22"/>
      <c r="E654" s="22"/>
      <c r="F654" s="22"/>
      <c r="G654" s="22"/>
      <c r="H654" s="22"/>
      <c r="I654" s="22"/>
      <c r="J654" s="22"/>
      <c r="K654" s="22"/>
      <c r="L654" s="22"/>
      <c r="M654" s="22"/>
      <c r="N654" s="22"/>
      <c r="O654" s="22"/>
      <c r="P654" s="22"/>
      <c r="Q654" s="27"/>
      <c r="R654" s="22"/>
      <c r="S654" s="22"/>
      <c r="T654" s="22"/>
      <c r="U654" s="22"/>
      <c r="V654" s="22"/>
      <c r="W654" s="22"/>
      <c r="X654" s="22"/>
      <c r="Y654" s="22"/>
      <c r="Z654" s="22"/>
      <c r="AA654" s="22"/>
      <c r="AB654" s="22"/>
    </row>
    <row r="655" spans="1:28" x14ac:dyDescent="0.3">
      <c r="A655" s="22"/>
      <c r="B655" s="22"/>
      <c r="C655" s="22"/>
      <c r="D655" s="22"/>
      <c r="E655" s="22"/>
      <c r="F655" s="22"/>
      <c r="G655" s="22"/>
      <c r="H655" s="22"/>
      <c r="I655" s="22"/>
      <c r="J655" s="22"/>
      <c r="K655" s="22"/>
      <c r="L655" s="22"/>
      <c r="M655" s="22"/>
      <c r="N655" s="22"/>
      <c r="O655" s="22"/>
      <c r="P655" s="22"/>
      <c r="Q655" s="27"/>
      <c r="R655" s="22"/>
      <c r="S655" s="22"/>
      <c r="T655" s="22"/>
      <c r="U655" s="22"/>
      <c r="V655" s="22"/>
      <c r="W655" s="22"/>
      <c r="X655" s="22"/>
      <c r="Y655" s="22"/>
      <c r="Z655" s="22"/>
      <c r="AA655" s="22"/>
      <c r="AB655" s="22"/>
    </row>
    <row r="656" spans="1:28" x14ac:dyDescent="0.3">
      <c r="A656" s="22"/>
      <c r="B656" s="22"/>
      <c r="C656" s="22"/>
      <c r="D656" s="22"/>
      <c r="E656" s="22"/>
      <c r="F656" s="22"/>
      <c r="G656" s="22"/>
      <c r="H656" s="22"/>
      <c r="I656" s="22"/>
      <c r="J656" s="22"/>
      <c r="K656" s="22"/>
      <c r="L656" s="22"/>
      <c r="M656" s="22"/>
      <c r="N656" s="22"/>
      <c r="O656" s="22"/>
      <c r="P656" s="22"/>
      <c r="Q656" s="27"/>
      <c r="R656" s="22"/>
      <c r="S656" s="22"/>
      <c r="T656" s="22"/>
      <c r="U656" s="22"/>
      <c r="V656" s="22"/>
      <c r="W656" s="22"/>
      <c r="X656" s="22"/>
      <c r="Y656" s="22"/>
      <c r="Z656" s="22"/>
      <c r="AA656" s="22"/>
      <c r="AB656" s="22"/>
    </row>
    <row r="657" spans="1:28" x14ac:dyDescent="0.3">
      <c r="A657" s="22"/>
      <c r="B657" s="22"/>
      <c r="C657" s="22"/>
      <c r="D657" s="22"/>
      <c r="E657" s="22"/>
      <c r="F657" s="22"/>
      <c r="G657" s="22"/>
      <c r="H657" s="22"/>
      <c r="I657" s="22"/>
      <c r="J657" s="22"/>
      <c r="K657" s="22"/>
      <c r="L657" s="22"/>
      <c r="M657" s="22"/>
      <c r="N657" s="22"/>
      <c r="O657" s="22"/>
      <c r="P657" s="22"/>
      <c r="Q657" s="27"/>
      <c r="R657" s="22"/>
      <c r="S657" s="22"/>
      <c r="T657" s="22"/>
      <c r="U657" s="22"/>
      <c r="V657" s="22"/>
      <c r="W657" s="22"/>
      <c r="X657" s="22"/>
      <c r="Y657" s="22"/>
      <c r="Z657" s="22"/>
      <c r="AA657" s="22"/>
      <c r="AB657" s="22"/>
    </row>
    <row r="658" spans="1:28" x14ac:dyDescent="0.3">
      <c r="A658" s="22"/>
      <c r="B658" s="22"/>
      <c r="C658" s="22"/>
      <c r="D658" s="22"/>
      <c r="E658" s="22"/>
      <c r="F658" s="22"/>
      <c r="G658" s="22"/>
      <c r="H658" s="22"/>
      <c r="I658" s="22"/>
      <c r="J658" s="22"/>
      <c r="K658" s="22"/>
      <c r="L658" s="22"/>
      <c r="M658" s="22"/>
      <c r="N658" s="22"/>
      <c r="O658" s="22"/>
      <c r="P658" s="22"/>
      <c r="Q658" s="27"/>
      <c r="R658" s="22"/>
      <c r="S658" s="22"/>
      <c r="T658" s="22"/>
      <c r="U658" s="22"/>
      <c r="V658" s="22"/>
      <c r="W658" s="22"/>
      <c r="X658" s="22"/>
      <c r="Y658" s="22"/>
      <c r="Z658" s="22"/>
      <c r="AA658" s="22"/>
      <c r="AB658" s="22"/>
    </row>
    <row r="659" spans="1:28" x14ac:dyDescent="0.3">
      <c r="A659" s="22"/>
      <c r="B659" s="22"/>
      <c r="C659" s="22"/>
      <c r="D659" s="22"/>
      <c r="E659" s="22"/>
      <c r="F659" s="22"/>
      <c r="G659" s="22"/>
      <c r="H659" s="22"/>
      <c r="I659" s="22"/>
      <c r="J659" s="22"/>
      <c r="K659" s="22"/>
      <c r="L659" s="22"/>
      <c r="M659" s="22"/>
      <c r="N659" s="22"/>
      <c r="O659" s="22"/>
      <c r="P659" s="22"/>
      <c r="Q659" s="27"/>
      <c r="R659" s="22"/>
      <c r="S659" s="22"/>
      <c r="T659" s="22"/>
      <c r="U659" s="22"/>
      <c r="V659" s="22"/>
      <c r="W659" s="22"/>
      <c r="X659" s="22"/>
      <c r="Y659" s="22"/>
      <c r="Z659" s="22"/>
      <c r="AA659" s="22"/>
      <c r="AB659" s="22"/>
    </row>
    <row r="660" spans="1:28" x14ac:dyDescent="0.3">
      <c r="A660" s="22"/>
      <c r="B660" s="22"/>
      <c r="C660" s="22"/>
      <c r="D660" s="22"/>
      <c r="E660" s="22"/>
      <c r="F660" s="22"/>
      <c r="G660" s="22"/>
      <c r="H660" s="22"/>
      <c r="I660" s="22"/>
      <c r="J660" s="22"/>
      <c r="K660" s="22"/>
      <c r="L660" s="22"/>
      <c r="M660" s="22"/>
      <c r="N660" s="22"/>
      <c r="O660" s="22"/>
      <c r="P660" s="22"/>
      <c r="Q660" s="27"/>
      <c r="R660" s="22"/>
      <c r="S660" s="22"/>
      <c r="T660" s="22"/>
      <c r="U660" s="22"/>
      <c r="V660" s="22"/>
      <c r="W660" s="22"/>
      <c r="X660" s="22"/>
      <c r="Y660" s="22"/>
      <c r="Z660" s="22"/>
      <c r="AA660" s="22"/>
      <c r="AB660" s="22"/>
    </row>
    <row r="661" spans="1:28" x14ac:dyDescent="0.3">
      <c r="A661" s="22"/>
      <c r="B661" s="22"/>
      <c r="C661" s="22"/>
      <c r="D661" s="22"/>
      <c r="E661" s="22"/>
      <c r="F661" s="22"/>
      <c r="G661" s="22"/>
      <c r="H661" s="22"/>
      <c r="I661" s="22"/>
      <c r="J661" s="22"/>
      <c r="K661" s="22"/>
      <c r="L661" s="22"/>
      <c r="M661" s="22"/>
      <c r="N661" s="22"/>
      <c r="O661" s="22"/>
      <c r="P661" s="22"/>
      <c r="Q661" s="27"/>
      <c r="R661" s="22"/>
      <c r="S661" s="22"/>
      <c r="T661" s="22"/>
      <c r="U661" s="22"/>
      <c r="V661" s="22"/>
      <c r="W661" s="22"/>
      <c r="X661" s="22"/>
      <c r="Y661" s="22"/>
      <c r="Z661" s="22"/>
      <c r="AA661" s="22"/>
      <c r="AB661" s="22"/>
    </row>
    <row r="662" spans="1:28" x14ac:dyDescent="0.3">
      <c r="A662" s="22"/>
      <c r="B662" s="22"/>
      <c r="C662" s="22"/>
      <c r="D662" s="22"/>
      <c r="E662" s="22"/>
      <c r="F662" s="22"/>
      <c r="G662" s="22"/>
      <c r="H662" s="22"/>
      <c r="I662" s="22"/>
      <c r="J662" s="22"/>
      <c r="K662" s="22"/>
      <c r="L662" s="22"/>
      <c r="M662" s="22"/>
      <c r="N662" s="22"/>
      <c r="O662" s="22"/>
      <c r="P662" s="22"/>
      <c r="Q662" s="27"/>
      <c r="R662" s="22"/>
      <c r="S662" s="22"/>
      <c r="T662" s="22"/>
      <c r="U662" s="22"/>
      <c r="V662" s="22"/>
      <c r="W662" s="22"/>
      <c r="X662" s="22"/>
      <c r="Y662" s="22"/>
      <c r="Z662" s="22"/>
      <c r="AA662" s="22"/>
      <c r="AB662" s="22"/>
    </row>
    <row r="663" spans="1:28" x14ac:dyDescent="0.3">
      <c r="A663" s="22"/>
      <c r="B663" s="22"/>
      <c r="C663" s="22"/>
      <c r="D663" s="22"/>
      <c r="E663" s="22"/>
      <c r="F663" s="22"/>
      <c r="G663" s="22"/>
      <c r="H663" s="22"/>
      <c r="I663" s="22"/>
      <c r="J663" s="22"/>
      <c r="K663" s="22"/>
      <c r="L663" s="22"/>
      <c r="M663" s="22"/>
      <c r="N663" s="22"/>
      <c r="O663" s="22"/>
      <c r="P663" s="22"/>
      <c r="Q663" s="27"/>
      <c r="R663" s="22"/>
      <c r="S663" s="22"/>
      <c r="T663" s="22"/>
      <c r="U663" s="22"/>
      <c r="V663" s="22"/>
      <c r="W663" s="22"/>
      <c r="X663" s="22"/>
      <c r="Y663" s="22"/>
      <c r="Z663" s="22"/>
      <c r="AA663" s="22"/>
      <c r="AB663" s="22"/>
    </row>
    <row r="664" spans="1:28" x14ac:dyDescent="0.3">
      <c r="A664" s="22"/>
      <c r="B664" s="22"/>
      <c r="C664" s="22"/>
      <c r="D664" s="22"/>
      <c r="E664" s="22"/>
      <c r="F664" s="22"/>
      <c r="G664" s="22"/>
      <c r="H664" s="22"/>
      <c r="I664" s="22"/>
      <c r="J664" s="22"/>
      <c r="K664" s="22"/>
      <c r="L664" s="22"/>
      <c r="M664" s="22"/>
      <c r="N664" s="22"/>
      <c r="O664" s="22"/>
      <c r="P664" s="22"/>
      <c r="Q664" s="27"/>
      <c r="R664" s="22"/>
      <c r="S664" s="22"/>
      <c r="T664" s="22"/>
      <c r="U664" s="22"/>
      <c r="V664" s="22"/>
      <c r="W664" s="22"/>
      <c r="X664" s="22"/>
      <c r="Y664" s="22"/>
      <c r="Z664" s="22"/>
      <c r="AA664" s="22"/>
      <c r="AB664" s="22"/>
    </row>
    <row r="665" spans="1:28" x14ac:dyDescent="0.3">
      <c r="A665" s="22"/>
      <c r="B665" s="22"/>
      <c r="C665" s="22"/>
      <c r="D665" s="22"/>
      <c r="E665" s="22"/>
      <c r="F665" s="22"/>
      <c r="G665" s="22"/>
      <c r="H665" s="22"/>
      <c r="I665" s="22"/>
      <c r="J665" s="22"/>
      <c r="K665" s="22"/>
      <c r="L665" s="22"/>
      <c r="M665" s="22"/>
      <c r="N665" s="22"/>
      <c r="O665" s="22"/>
      <c r="P665" s="22"/>
      <c r="Q665" s="27"/>
      <c r="R665" s="22"/>
      <c r="S665" s="22"/>
      <c r="T665" s="22"/>
      <c r="U665" s="22"/>
      <c r="V665" s="22"/>
      <c r="W665" s="22"/>
      <c r="X665" s="22"/>
      <c r="Y665" s="22"/>
      <c r="Z665" s="22"/>
      <c r="AA665" s="22"/>
      <c r="AB665" s="22"/>
    </row>
    <row r="666" spans="1:28" x14ac:dyDescent="0.3">
      <c r="A666" s="22"/>
      <c r="B666" s="22"/>
      <c r="C666" s="22"/>
      <c r="D666" s="22"/>
      <c r="E666" s="22"/>
      <c r="F666" s="22"/>
      <c r="G666" s="22"/>
      <c r="H666" s="22"/>
      <c r="I666" s="22"/>
      <c r="J666" s="22"/>
      <c r="K666" s="22"/>
      <c r="L666" s="22"/>
      <c r="M666" s="22"/>
      <c r="N666" s="22"/>
      <c r="O666" s="22"/>
      <c r="P666" s="22"/>
      <c r="Q666" s="27"/>
      <c r="R666" s="22"/>
      <c r="S666" s="22"/>
      <c r="T666" s="22"/>
      <c r="U666" s="22"/>
      <c r="V666" s="22"/>
      <c r="W666" s="22"/>
      <c r="X666" s="22"/>
      <c r="Y666" s="22"/>
      <c r="Z666" s="22"/>
      <c r="AA666" s="22"/>
      <c r="AB666" s="22"/>
    </row>
    <row r="667" spans="1:28" x14ac:dyDescent="0.3">
      <c r="A667" s="22"/>
      <c r="B667" s="22"/>
      <c r="C667" s="22"/>
      <c r="D667" s="22"/>
      <c r="E667" s="22"/>
      <c r="F667" s="22"/>
      <c r="G667" s="22"/>
      <c r="H667" s="22"/>
      <c r="I667" s="22"/>
      <c r="J667" s="22"/>
      <c r="K667" s="22"/>
      <c r="L667" s="22"/>
      <c r="M667" s="22"/>
      <c r="N667" s="22"/>
      <c r="O667" s="22"/>
      <c r="P667" s="22"/>
      <c r="Q667" s="27"/>
      <c r="R667" s="22"/>
      <c r="S667" s="22"/>
      <c r="T667" s="22"/>
      <c r="U667" s="22"/>
      <c r="V667" s="22"/>
      <c r="W667" s="22"/>
      <c r="X667" s="22"/>
      <c r="Y667" s="22"/>
      <c r="Z667" s="22"/>
      <c r="AA667" s="22"/>
      <c r="AB667" s="22"/>
    </row>
    <row r="668" spans="1:28" x14ac:dyDescent="0.3">
      <c r="A668" s="22"/>
      <c r="B668" s="22"/>
      <c r="C668" s="22"/>
      <c r="D668" s="22"/>
      <c r="E668" s="22"/>
      <c r="F668" s="22"/>
      <c r="G668" s="22"/>
      <c r="H668" s="22"/>
      <c r="I668" s="22"/>
      <c r="J668" s="22"/>
      <c r="K668" s="22"/>
      <c r="L668" s="22"/>
      <c r="M668" s="22"/>
      <c r="N668" s="22"/>
      <c r="O668" s="22"/>
      <c r="P668" s="22"/>
      <c r="Q668" s="27"/>
      <c r="R668" s="22"/>
      <c r="S668" s="22"/>
      <c r="T668" s="22"/>
      <c r="U668" s="22"/>
      <c r="V668" s="22"/>
      <c r="W668" s="22"/>
      <c r="X668" s="22"/>
      <c r="Y668" s="22"/>
      <c r="Z668" s="22"/>
      <c r="AA668" s="22"/>
      <c r="AB668" s="22"/>
    </row>
    <row r="669" spans="1:28" x14ac:dyDescent="0.3">
      <c r="A669" s="22"/>
      <c r="B669" s="22"/>
      <c r="C669" s="22"/>
      <c r="D669" s="22"/>
      <c r="E669" s="22"/>
      <c r="F669" s="22"/>
      <c r="G669" s="22"/>
      <c r="H669" s="22"/>
      <c r="I669" s="22"/>
      <c r="J669" s="22"/>
      <c r="K669" s="22"/>
      <c r="L669" s="22"/>
      <c r="M669" s="22"/>
      <c r="N669" s="22"/>
      <c r="O669" s="22"/>
      <c r="P669" s="22"/>
      <c r="Q669" s="27"/>
      <c r="R669" s="22"/>
      <c r="S669" s="22"/>
      <c r="T669" s="22"/>
      <c r="U669" s="22"/>
      <c r="V669" s="22"/>
      <c r="W669" s="22"/>
      <c r="X669" s="22"/>
      <c r="Y669" s="22"/>
      <c r="Z669" s="22"/>
      <c r="AA669" s="22"/>
      <c r="AB669" s="22"/>
    </row>
    <row r="670" spans="1:28" x14ac:dyDescent="0.3">
      <c r="A670" s="22"/>
      <c r="B670" s="22"/>
      <c r="C670" s="22"/>
      <c r="D670" s="22"/>
      <c r="E670" s="22"/>
      <c r="F670" s="22"/>
      <c r="G670" s="22"/>
      <c r="H670" s="22"/>
      <c r="I670" s="22"/>
      <c r="J670" s="22"/>
      <c r="K670" s="22"/>
      <c r="L670" s="22"/>
      <c r="M670" s="22"/>
      <c r="N670" s="22"/>
      <c r="O670" s="22"/>
      <c r="P670" s="22"/>
      <c r="Q670" s="27"/>
      <c r="R670" s="22"/>
      <c r="S670" s="22"/>
      <c r="T670" s="22"/>
      <c r="U670" s="22"/>
      <c r="V670" s="22"/>
      <c r="W670" s="22"/>
      <c r="X670" s="22"/>
      <c r="Y670" s="22"/>
      <c r="Z670" s="22"/>
      <c r="AA670" s="22"/>
      <c r="AB670" s="22"/>
    </row>
    <row r="671" spans="1:28" x14ac:dyDescent="0.3">
      <c r="A671" s="22"/>
      <c r="B671" s="22"/>
      <c r="C671" s="22"/>
      <c r="D671" s="22"/>
      <c r="E671" s="22"/>
      <c r="F671" s="22"/>
      <c r="G671" s="22"/>
      <c r="H671" s="22"/>
      <c r="I671" s="22"/>
      <c r="J671" s="22"/>
      <c r="K671" s="22"/>
      <c r="L671" s="22"/>
      <c r="M671" s="22"/>
      <c r="N671" s="22"/>
      <c r="O671" s="22"/>
      <c r="P671" s="22"/>
      <c r="Q671" s="27"/>
      <c r="R671" s="22"/>
      <c r="S671" s="22"/>
      <c r="T671" s="22"/>
      <c r="U671" s="22"/>
      <c r="V671" s="22"/>
      <c r="W671" s="22"/>
      <c r="X671" s="22"/>
      <c r="Y671" s="22"/>
      <c r="Z671" s="22"/>
      <c r="AA671" s="22"/>
      <c r="AB671" s="22"/>
    </row>
    <row r="672" spans="1:28" x14ac:dyDescent="0.3">
      <c r="A672" s="22"/>
      <c r="B672" s="22"/>
      <c r="C672" s="22"/>
      <c r="D672" s="22"/>
      <c r="E672" s="22"/>
      <c r="F672" s="22"/>
      <c r="G672" s="22"/>
      <c r="H672" s="22"/>
      <c r="I672" s="22"/>
      <c r="J672" s="22"/>
      <c r="K672" s="22"/>
      <c r="L672" s="22"/>
      <c r="M672" s="22"/>
      <c r="N672" s="22"/>
      <c r="O672" s="22"/>
      <c r="P672" s="22"/>
      <c r="Q672" s="27"/>
      <c r="R672" s="22"/>
      <c r="S672" s="22"/>
      <c r="T672" s="22"/>
      <c r="U672" s="22"/>
      <c r="V672" s="22"/>
      <c r="W672" s="22"/>
      <c r="X672" s="22"/>
      <c r="Y672" s="22"/>
      <c r="Z672" s="22"/>
      <c r="AA672" s="22"/>
      <c r="AB672" s="22"/>
    </row>
    <row r="673" spans="1:28" x14ac:dyDescent="0.3">
      <c r="A673" s="22"/>
      <c r="B673" s="22"/>
      <c r="C673" s="22"/>
      <c r="D673" s="22"/>
      <c r="E673" s="22"/>
      <c r="F673" s="22"/>
      <c r="G673" s="22"/>
      <c r="H673" s="22"/>
      <c r="I673" s="22"/>
      <c r="J673" s="22"/>
      <c r="K673" s="22"/>
      <c r="L673" s="22"/>
      <c r="M673" s="22"/>
      <c r="N673" s="22"/>
      <c r="O673" s="22"/>
      <c r="P673" s="22"/>
      <c r="Q673" s="27"/>
      <c r="R673" s="22"/>
      <c r="S673" s="22"/>
      <c r="T673" s="22"/>
      <c r="U673" s="22"/>
      <c r="V673" s="22"/>
      <c r="W673" s="22"/>
      <c r="X673" s="22"/>
      <c r="Y673" s="22"/>
      <c r="Z673" s="22"/>
      <c r="AA673" s="22"/>
      <c r="AB673" s="22"/>
    </row>
    <row r="674" spans="1:28" x14ac:dyDescent="0.3">
      <c r="A674" s="22"/>
      <c r="B674" s="22"/>
      <c r="C674" s="22"/>
      <c r="D674" s="22"/>
      <c r="E674" s="22"/>
      <c r="F674" s="22"/>
      <c r="G674" s="22"/>
      <c r="H674" s="22"/>
      <c r="I674" s="22"/>
      <c r="J674" s="22"/>
      <c r="K674" s="22"/>
      <c r="L674" s="22"/>
      <c r="M674" s="22"/>
      <c r="N674" s="22"/>
      <c r="O674" s="22"/>
      <c r="P674" s="22"/>
      <c r="Q674" s="27"/>
      <c r="R674" s="22"/>
      <c r="S674" s="22"/>
      <c r="T674" s="22"/>
      <c r="U674" s="22"/>
      <c r="V674" s="22"/>
      <c r="W674" s="22"/>
      <c r="X674" s="22"/>
      <c r="Y674" s="22"/>
      <c r="Z674" s="22"/>
      <c r="AA674" s="22"/>
      <c r="AB674" s="22"/>
    </row>
    <row r="675" spans="1:28" x14ac:dyDescent="0.3">
      <c r="A675" s="22"/>
      <c r="B675" s="22"/>
      <c r="C675" s="22"/>
      <c r="D675" s="22"/>
      <c r="E675" s="22"/>
      <c r="F675" s="22"/>
      <c r="G675" s="22"/>
      <c r="H675" s="22"/>
      <c r="I675" s="22"/>
      <c r="J675" s="22"/>
      <c r="K675" s="22"/>
      <c r="L675" s="22"/>
      <c r="M675" s="22"/>
      <c r="N675" s="22"/>
      <c r="O675" s="22"/>
      <c r="P675" s="22"/>
      <c r="Q675" s="27"/>
      <c r="R675" s="22"/>
      <c r="S675" s="22"/>
      <c r="T675" s="22"/>
      <c r="U675" s="22"/>
      <c r="V675" s="22"/>
      <c r="W675" s="22"/>
      <c r="X675" s="22"/>
      <c r="Y675" s="22"/>
      <c r="Z675" s="22"/>
      <c r="AA675" s="22"/>
      <c r="AB675" s="22"/>
    </row>
    <row r="676" spans="1:28" x14ac:dyDescent="0.3">
      <c r="A676" s="22"/>
      <c r="B676" s="22"/>
      <c r="C676" s="22"/>
      <c r="D676" s="22"/>
      <c r="E676" s="22"/>
      <c r="F676" s="22"/>
      <c r="G676" s="22"/>
      <c r="H676" s="22"/>
      <c r="I676" s="22"/>
      <c r="J676" s="22"/>
      <c r="K676" s="22"/>
      <c r="L676" s="22"/>
      <c r="M676" s="22"/>
      <c r="N676" s="22"/>
      <c r="O676" s="22"/>
      <c r="P676" s="22"/>
      <c r="Q676" s="27"/>
      <c r="R676" s="22"/>
      <c r="S676" s="22"/>
      <c r="T676" s="22"/>
      <c r="U676" s="22"/>
      <c r="V676" s="22"/>
      <c r="W676" s="22"/>
      <c r="X676" s="22"/>
      <c r="Y676" s="22"/>
      <c r="Z676" s="22"/>
      <c r="AA676" s="22"/>
      <c r="AB676" s="22"/>
    </row>
    <row r="677" spans="1:28" x14ac:dyDescent="0.3">
      <c r="A677" s="22"/>
      <c r="B677" s="22"/>
      <c r="C677" s="22"/>
      <c r="D677" s="22"/>
      <c r="E677" s="22"/>
      <c r="F677" s="22"/>
      <c r="G677" s="22"/>
      <c r="H677" s="22"/>
      <c r="I677" s="22"/>
      <c r="J677" s="22"/>
      <c r="K677" s="22"/>
      <c r="L677" s="22"/>
      <c r="M677" s="22"/>
      <c r="N677" s="22"/>
      <c r="O677" s="22"/>
      <c r="P677" s="22"/>
      <c r="Q677" s="27"/>
      <c r="R677" s="22"/>
      <c r="S677" s="22"/>
      <c r="T677" s="22"/>
      <c r="U677" s="22"/>
      <c r="V677" s="22"/>
      <c r="W677" s="22"/>
      <c r="X677" s="22"/>
      <c r="Y677" s="22"/>
      <c r="Z677" s="22"/>
      <c r="AA677" s="22"/>
      <c r="AB677" s="22"/>
    </row>
    <row r="678" spans="1:28" x14ac:dyDescent="0.3">
      <c r="A678" s="22"/>
      <c r="B678" s="22"/>
      <c r="C678" s="22"/>
      <c r="D678" s="22"/>
      <c r="E678" s="22"/>
      <c r="F678" s="22"/>
      <c r="G678" s="22"/>
      <c r="H678" s="22"/>
      <c r="I678" s="22"/>
      <c r="J678" s="22"/>
      <c r="K678" s="22"/>
      <c r="L678" s="22"/>
      <c r="M678" s="22"/>
      <c r="N678" s="22"/>
      <c r="O678" s="22"/>
      <c r="P678" s="22"/>
      <c r="Q678" s="27"/>
      <c r="R678" s="22"/>
      <c r="S678" s="22"/>
      <c r="T678" s="22"/>
      <c r="U678" s="22"/>
      <c r="V678" s="22"/>
      <c r="W678" s="22"/>
      <c r="X678" s="22"/>
      <c r="Y678" s="22"/>
      <c r="Z678" s="22"/>
      <c r="AA678" s="22"/>
      <c r="AB678" s="22"/>
    </row>
    <row r="679" spans="1:28" x14ac:dyDescent="0.3">
      <c r="A679" s="22"/>
      <c r="B679" s="22"/>
      <c r="C679" s="22"/>
      <c r="D679" s="22"/>
      <c r="E679" s="22"/>
      <c r="F679" s="22"/>
      <c r="G679" s="22"/>
      <c r="H679" s="22"/>
      <c r="I679" s="22"/>
      <c r="J679" s="22"/>
      <c r="K679" s="22"/>
      <c r="L679" s="22"/>
      <c r="M679" s="22"/>
      <c r="N679" s="22"/>
      <c r="O679" s="22"/>
      <c r="P679" s="22"/>
      <c r="Q679" s="27"/>
      <c r="R679" s="22"/>
      <c r="S679" s="22"/>
      <c r="T679" s="22"/>
      <c r="U679" s="22"/>
      <c r="V679" s="22"/>
      <c r="W679" s="22"/>
      <c r="X679" s="22"/>
      <c r="Y679" s="22"/>
      <c r="Z679" s="22"/>
      <c r="AA679" s="22"/>
      <c r="AB679" s="22"/>
    </row>
    <row r="680" spans="1:28" x14ac:dyDescent="0.3">
      <c r="A680" s="22"/>
      <c r="B680" s="22"/>
      <c r="C680" s="22"/>
      <c r="D680" s="22"/>
      <c r="E680" s="22"/>
      <c r="F680" s="22"/>
      <c r="G680" s="22"/>
      <c r="H680" s="22"/>
      <c r="I680" s="22"/>
      <c r="J680" s="22"/>
      <c r="K680" s="22"/>
      <c r="L680" s="22"/>
      <c r="M680" s="22"/>
      <c r="N680" s="22"/>
      <c r="O680" s="22"/>
      <c r="P680" s="22"/>
      <c r="Q680" s="27"/>
      <c r="R680" s="22"/>
      <c r="S680" s="22"/>
      <c r="T680" s="22"/>
      <c r="U680" s="22"/>
      <c r="V680" s="22"/>
      <c r="W680" s="22"/>
      <c r="X680" s="22"/>
      <c r="Y680" s="22"/>
      <c r="Z680" s="22"/>
      <c r="AA680" s="22"/>
      <c r="AB680" s="22"/>
    </row>
    <row r="681" spans="1:28" x14ac:dyDescent="0.3">
      <c r="A681" s="22"/>
      <c r="B681" s="22"/>
      <c r="C681" s="22"/>
      <c r="D681" s="22"/>
      <c r="E681" s="22"/>
      <c r="F681" s="22"/>
      <c r="G681" s="22"/>
      <c r="H681" s="22"/>
      <c r="I681" s="22"/>
      <c r="J681" s="22"/>
      <c r="K681" s="22"/>
      <c r="L681" s="22"/>
      <c r="M681" s="22"/>
      <c r="N681" s="22"/>
      <c r="O681" s="22"/>
      <c r="P681" s="22"/>
      <c r="Q681" s="27"/>
      <c r="R681" s="22"/>
      <c r="S681" s="22"/>
      <c r="T681" s="22"/>
      <c r="U681" s="22"/>
      <c r="V681" s="22"/>
      <c r="W681" s="22"/>
      <c r="X681" s="22"/>
      <c r="Y681" s="22"/>
      <c r="Z681" s="22"/>
      <c r="AA681" s="22"/>
      <c r="AB681" s="22"/>
    </row>
    <row r="682" spans="1:28" x14ac:dyDescent="0.3">
      <c r="A682" s="22"/>
      <c r="B682" s="22"/>
      <c r="C682" s="22"/>
      <c r="D682" s="22"/>
      <c r="E682" s="22"/>
      <c r="F682" s="22"/>
      <c r="G682" s="22"/>
      <c r="H682" s="22"/>
      <c r="I682" s="22"/>
      <c r="J682" s="22"/>
      <c r="K682" s="22"/>
      <c r="L682" s="22"/>
      <c r="M682" s="22"/>
      <c r="N682" s="22"/>
      <c r="O682" s="22"/>
      <c r="P682" s="22"/>
      <c r="Q682" s="27"/>
      <c r="R682" s="22"/>
      <c r="S682" s="22"/>
      <c r="T682" s="22"/>
      <c r="U682" s="22"/>
      <c r="V682" s="22"/>
      <c r="W682" s="22"/>
      <c r="X682" s="22"/>
      <c r="Y682" s="22"/>
      <c r="Z682" s="22"/>
      <c r="AA682" s="22"/>
      <c r="AB682" s="22"/>
    </row>
    <row r="683" spans="1:28" x14ac:dyDescent="0.3">
      <c r="A683" s="22"/>
      <c r="B683" s="22"/>
      <c r="C683" s="22"/>
      <c r="D683" s="22"/>
      <c r="E683" s="22"/>
      <c r="F683" s="22"/>
      <c r="G683" s="22"/>
      <c r="H683" s="22"/>
      <c r="I683" s="22"/>
      <c r="J683" s="22"/>
      <c r="K683" s="22"/>
      <c r="L683" s="22"/>
      <c r="M683" s="22"/>
      <c r="N683" s="22"/>
      <c r="O683" s="22"/>
      <c r="P683" s="22"/>
      <c r="Q683" s="27"/>
      <c r="R683" s="22"/>
      <c r="S683" s="22"/>
      <c r="T683" s="22"/>
      <c r="U683" s="22"/>
      <c r="V683" s="22"/>
      <c r="W683" s="22"/>
      <c r="X683" s="22"/>
      <c r="Y683" s="22"/>
      <c r="Z683" s="22"/>
      <c r="AA683" s="22"/>
      <c r="AB683" s="22"/>
    </row>
    <row r="684" spans="1:28" x14ac:dyDescent="0.3">
      <c r="A684" s="22"/>
      <c r="B684" s="22"/>
      <c r="C684" s="22"/>
      <c r="D684" s="22"/>
      <c r="E684" s="22"/>
      <c r="F684" s="22"/>
      <c r="G684" s="22"/>
      <c r="H684" s="22"/>
      <c r="I684" s="22"/>
      <c r="J684" s="22"/>
      <c r="K684" s="22"/>
      <c r="L684" s="22"/>
      <c r="M684" s="22"/>
      <c r="N684" s="22"/>
      <c r="O684" s="22"/>
      <c r="P684" s="22"/>
      <c r="Q684" s="27"/>
      <c r="R684" s="22"/>
      <c r="S684" s="22"/>
      <c r="T684" s="22"/>
      <c r="U684" s="22"/>
      <c r="V684" s="22"/>
      <c r="W684" s="22"/>
      <c r="X684" s="22"/>
      <c r="Y684" s="22"/>
      <c r="Z684" s="22"/>
      <c r="AA684" s="22"/>
      <c r="AB684" s="22"/>
    </row>
    <row r="685" spans="1:28" x14ac:dyDescent="0.3">
      <c r="A685" s="22"/>
      <c r="B685" s="22"/>
      <c r="C685" s="22"/>
      <c r="D685" s="22"/>
      <c r="E685" s="22"/>
      <c r="F685" s="22"/>
      <c r="G685" s="22"/>
      <c r="H685" s="22"/>
      <c r="I685" s="22"/>
      <c r="J685" s="22"/>
      <c r="K685" s="22"/>
      <c r="L685" s="22"/>
      <c r="M685" s="22"/>
      <c r="N685" s="22"/>
      <c r="O685" s="22"/>
      <c r="P685" s="22"/>
      <c r="Q685" s="27"/>
      <c r="R685" s="22"/>
      <c r="S685" s="22"/>
      <c r="T685" s="22"/>
      <c r="U685" s="22"/>
      <c r="V685" s="22"/>
      <c r="W685" s="22"/>
      <c r="X685" s="22"/>
      <c r="Y685" s="22"/>
      <c r="Z685" s="22"/>
      <c r="AA685" s="22"/>
      <c r="AB685" s="22"/>
    </row>
    <row r="686" spans="1:28" x14ac:dyDescent="0.3">
      <c r="A686" s="22"/>
      <c r="B686" s="22"/>
      <c r="C686" s="22"/>
      <c r="D686" s="22"/>
      <c r="E686" s="22"/>
      <c r="F686" s="22"/>
      <c r="G686" s="22"/>
      <c r="H686" s="22"/>
      <c r="I686" s="22"/>
      <c r="J686" s="22"/>
      <c r="K686" s="22"/>
      <c r="L686" s="22"/>
      <c r="M686" s="22"/>
      <c r="N686" s="22"/>
      <c r="O686" s="22"/>
      <c r="P686" s="22"/>
      <c r="Q686" s="27"/>
      <c r="R686" s="22"/>
      <c r="S686" s="22"/>
      <c r="T686" s="22"/>
      <c r="U686" s="22"/>
      <c r="V686" s="22"/>
      <c r="W686" s="22"/>
      <c r="X686" s="22"/>
      <c r="Y686" s="22"/>
      <c r="Z686" s="22"/>
      <c r="AA686" s="22"/>
      <c r="AB686" s="22"/>
    </row>
    <row r="687" spans="1:28" x14ac:dyDescent="0.3">
      <c r="A687" s="22"/>
      <c r="B687" s="22"/>
      <c r="C687" s="22"/>
      <c r="D687" s="22"/>
      <c r="E687" s="22"/>
      <c r="F687" s="22"/>
      <c r="G687" s="22"/>
      <c r="H687" s="22"/>
      <c r="I687" s="22"/>
      <c r="J687" s="22"/>
      <c r="K687" s="22"/>
      <c r="L687" s="22"/>
      <c r="M687" s="22"/>
      <c r="N687" s="22"/>
      <c r="O687" s="22"/>
      <c r="P687" s="22"/>
      <c r="Q687" s="27"/>
      <c r="R687" s="22"/>
      <c r="S687" s="22"/>
      <c r="T687" s="22"/>
      <c r="U687" s="22"/>
      <c r="V687" s="22"/>
      <c r="W687" s="22"/>
      <c r="X687" s="22"/>
      <c r="Y687" s="22"/>
      <c r="Z687" s="22"/>
      <c r="AA687" s="22"/>
      <c r="AB687" s="22"/>
    </row>
    <row r="688" spans="1:28" x14ac:dyDescent="0.3">
      <c r="A688" s="22"/>
      <c r="B688" s="22"/>
      <c r="C688" s="22"/>
      <c r="D688" s="22"/>
      <c r="E688" s="22"/>
      <c r="F688" s="22"/>
      <c r="G688" s="22"/>
      <c r="H688" s="22"/>
      <c r="I688" s="22"/>
      <c r="J688" s="22"/>
      <c r="K688" s="22"/>
      <c r="L688" s="22"/>
      <c r="M688" s="22"/>
      <c r="N688" s="22"/>
      <c r="O688" s="22"/>
      <c r="P688" s="22"/>
      <c r="Q688" s="27"/>
      <c r="R688" s="22"/>
      <c r="S688" s="22"/>
      <c r="T688" s="22"/>
      <c r="U688" s="22"/>
      <c r="V688" s="22"/>
      <c r="W688" s="22"/>
      <c r="X688" s="22"/>
      <c r="Y688" s="22"/>
      <c r="Z688" s="22"/>
      <c r="AA688" s="22"/>
      <c r="AB688" s="22"/>
    </row>
    <row r="689" spans="1:28" x14ac:dyDescent="0.3">
      <c r="A689" s="22"/>
      <c r="B689" s="22"/>
      <c r="C689" s="22"/>
      <c r="D689" s="22"/>
      <c r="E689" s="22"/>
      <c r="F689" s="22"/>
      <c r="G689" s="22"/>
      <c r="H689" s="22"/>
      <c r="I689" s="22"/>
      <c r="J689" s="22"/>
      <c r="K689" s="22"/>
      <c r="L689" s="22"/>
      <c r="M689" s="22"/>
      <c r="N689" s="22"/>
      <c r="O689" s="22"/>
      <c r="P689" s="22"/>
      <c r="Q689" s="27"/>
      <c r="R689" s="22"/>
      <c r="S689" s="22"/>
      <c r="T689" s="22"/>
      <c r="U689" s="22"/>
      <c r="V689" s="22"/>
      <c r="W689" s="22"/>
      <c r="X689" s="22"/>
      <c r="Y689" s="22"/>
      <c r="Z689" s="22"/>
      <c r="AA689" s="22"/>
      <c r="AB689" s="22"/>
    </row>
    <row r="690" spans="1:28" x14ac:dyDescent="0.3">
      <c r="A690" s="22"/>
      <c r="B690" s="22"/>
      <c r="C690" s="22"/>
      <c r="D690" s="22"/>
      <c r="E690" s="22"/>
      <c r="F690" s="22"/>
      <c r="G690" s="22"/>
      <c r="H690" s="22"/>
      <c r="I690" s="22"/>
      <c r="J690" s="22"/>
      <c r="K690" s="22"/>
      <c r="L690" s="22"/>
      <c r="M690" s="22"/>
      <c r="N690" s="22"/>
      <c r="O690" s="22"/>
      <c r="P690" s="22"/>
      <c r="Q690" s="27"/>
      <c r="R690" s="22"/>
      <c r="S690" s="22"/>
      <c r="T690" s="22"/>
      <c r="U690" s="22"/>
      <c r="V690" s="22"/>
      <c r="W690" s="22"/>
      <c r="X690" s="22"/>
      <c r="Y690" s="22"/>
      <c r="Z690" s="22"/>
      <c r="AA690" s="22"/>
      <c r="AB690" s="22"/>
    </row>
    <row r="691" spans="1:28" x14ac:dyDescent="0.3">
      <c r="A691" s="22"/>
      <c r="B691" s="22"/>
      <c r="C691" s="22"/>
      <c r="D691" s="22"/>
      <c r="E691" s="22"/>
      <c r="F691" s="22"/>
      <c r="G691" s="22"/>
      <c r="H691" s="22"/>
      <c r="I691" s="22"/>
      <c r="J691" s="22"/>
      <c r="K691" s="22"/>
      <c r="L691" s="22"/>
      <c r="M691" s="22"/>
      <c r="N691" s="22"/>
      <c r="O691" s="22"/>
      <c r="P691" s="22"/>
      <c r="Q691" s="27"/>
      <c r="R691" s="22"/>
      <c r="S691" s="22"/>
      <c r="T691" s="22"/>
      <c r="U691" s="22"/>
      <c r="V691" s="22"/>
      <c r="W691" s="22"/>
      <c r="X691" s="22"/>
      <c r="Y691" s="22"/>
      <c r="Z691" s="22"/>
      <c r="AA691" s="22"/>
      <c r="AB691" s="22"/>
    </row>
    <row r="692" spans="1:28" x14ac:dyDescent="0.3">
      <c r="A692" s="22"/>
      <c r="B692" s="22"/>
      <c r="C692" s="22"/>
      <c r="D692" s="22"/>
      <c r="E692" s="22"/>
      <c r="F692" s="22"/>
      <c r="G692" s="22"/>
      <c r="H692" s="22"/>
      <c r="I692" s="22"/>
      <c r="J692" s="22"/>
      <c r="K692" s="22"/>
      <c r="L692" s="22"/>
      <c r="M692" s="22"/>
      <c r="N692" s="22"/>
      <c r="O692" s="22"/>
      <c r="P692" s="22"/>
      <c r="Q692" s="27"/>
      <c r="R692" s="22"/>
      <c r="S692" s="22"/>
      <c r="T692" s="22"/>
      <c r="U692" s="22"/>
      <c r="V692" s="22"/>
      <c r="W692" s="22"/>
      <c r="X692" s="22"/>
      <c r="Y692" s="22"/>
      <c r="Z692" s="22"/>
      <c r="AA692" s="22"/>
      <c r="AB692" s="22"/>
    </row>
    <row r="693" spans="1:28" x14ac:dyDescent="0.3">
      <c r="A693" s="22"/>
      <c r="B693" s="22"/>
      <c r="C693" s="22"/>
      <c r="D693" s="22"/>
      <c r="E693" s="22"/>
      <c r="F693" s="22"/>
      <c r="G693" s="22"/>
      <c r="H693" s="22"/>
      <c r="I693" s="22"/>
      <c r="J693" s="22"/>
      <c r="K693" s="22"/>
      <c r="L693" s="22"/>
      <c r="M693" s="22"/>
      <c r="N693" s="22"/>
      <c r="O693" s="22"/>
      <c r="P693" s="22"/>
      <c r="Q693" s="27"/>
      <c r="R693" s="22"/>
      <c r="S693" s="22"/>
      <c r="T693" s="22"/>
      <c r="U693" s="22"/>
      <c r="V693" s="22"/>
      <c r="W693" s="22"/>
      <c r="X693" s="22"/>
      <c r="Y693" s="22"/>
      <c r="Z693" s="22"/>
      <c r="AA693" s="22"/>
      <c r="AB693" s="22"/>
    </row>
    <row r="694" spans="1:28" x14ac:dyDescent="0.3">
      <c r="A694" s="22"/>
      <c r="B694" s="22"/>
      <c r="C694" s="22"/>
      <c r="D694" s="22"/>
      <c r="E694" s="22"/>
      <c r="F694" s="22"/>
      <c r="G694" s="22"/>
      <c r="H694" s="22"/>
      <c r="I694" s="22"/>
      <c r="J694" s="22"/>
      <c r="K694" s="22"/>
      <c r="L694" s="22"/>
      <c r="M694" s="22"/>
      <c r="N694" s="22"/>
      <c r="O694" s="22"/>
      <c r="P694" s="22"/>
      <c r="Q694" s="27"/>
      <c r="R694" s="22"/>
      <c r="S694" s="22"/>
      <c r="T694" s="22"/>
      <c r="U694" s="22"/>
      <c r="V694" s="22"/>
      <c r="W694" s="22"/>
      <c r="X694" s="22"/>
      <c r="Y694" s="22"/>
      <c r="Z694" s="22"/>
      <c r="AA694" s="22"/>
      <c r="AB694" s="22"/>
    </row>
    <row r="695" spans="1:28" x14ac:dyDescent="0.3">
      <c r="A695" s="22"/>
      <c r="B695" s="22"/>
      <c r="C695" s="22"/>
      <c r="D695" s="22"/>
      <c r="E695" s="22"/>
      <c r="F695" s="22"/>
      <c r="G695" s="22"/>
      <c r="H695" s="22"/>
      <c r="I695" s="22"/>
      <c r="J695" s="22"/>
      <c r="K695" s="22"/>
      <c r="L695" s="22"/>
      <c r="M695" s="22"/>
      <c r="N695" s="22"/>
      <c r="O695" s="22"/>
      <c r="P695" s="22"/>
      <c r="Q695" s="27"/>
      <c r="R695" s="22"/>
      <c r="S695" s="22"/>
      <c r="T695" s="22"/>
      <c r="U695" s="22"/>
      <c r="V695" s="22"/>
      <c r="W695" s="22"/>
      <c r="X695" s="22"/>
      <c r="Y695" s="22"/>
      <c r="Z695" s="22"/>
      <c r="AA695" s="22"/>
      <c r="AB695" s="22"/>
    </row>
    <row r="696" spans="1:28" x14ac:dyDescent="0.3">
      <c r="A696" s="22"/>
      <c r="B696" s="22"/>
      <c r="C696" s="22"/>
      <c r="D696" s="22"/>
      <c r="E696" s="22"/>
      <c r="F696" s="22"/>
      <c r="G696" s="22"/>
      <c r="H696" s="22"/>
      <c r="I696" s="22"/>
      <c r="J696" s="22"/>
      <c r="K696" s="22"/>
      <c r="L696" s="22"/>
      <c r="M696" s="22"/>
      <c r="N696" s="22"/>
      <c r="O696" s="22"/>
      <c r="P696" s="22"/>
      <c r="Q696" s="27"/>
      <c r="R696" s="22"/>
      <c r="S696" s="22"/>
      <c r="T696" s="22"/>
      <c r="U696" s="22"/>
      <c r="V696" s="22"/>
      <c r="W696" s="22"/>
      <c r="X696" s="22"/>
      <c r="Y696" s="22"/>
      <c r="Z696" s="22"/>
      <c r="AA696" s="22"/>
      <c r="AB696" s="22"/>
    </row>
    <row r="697" spans="1:28" x14ac:dyDescent="0.3">
      <c r="A697" s="22"/>
      <c r="B697" s="22"/>
      <c r="C697" s="22"/>
      <c r="D697" s="22"/>
      <c r="E697" s="22"/>
      <c r="F697" s="22"/>
      <c r="G697" s="22"/>
      <c r="H697" s="22"/>
      <c r="I697" s="22"/>
      <c r="J697" s="22"/>
      <c r="K697" s="22"/>
      <c r="L697" s="22"/>
      <c r="M697" s="22"/>
      <c r="N697" s="22"/>
      <c r="O697" s="22"/>
      <c r="P697" s="22"/>
      <c r="Q697" s="27"/>
      <c r="R697" s="22"/>
      <c r="S697" s="22"/>
      <c r="T697" s="22"/>
      <c r="U697" s="22"/>
      <c r="V697" s="22"/>
      <c r="W697" s="22"/>
      <c r="X697" s="22"/>
      <c r="Y697" s="22"/>
      <c r="Z697" s="22"/>
      <c r="AA697" s="22"/>
      <c r="AB697" s="22"/>
    </row>
    <row r="698" spans="1:28" x14ac:dyDescent="0.3">
      <c r="A698" s="22"/>
      <c r="B698" s="22"/>
      <c r="C698" s="22"/>
      <c r="D698" s="22"/>
      <c r="E698" s="22"/>
      <c r="F698" s="22"/>
      <c r="G698" s="22"/>
      <c r="H698" s="22"/>
      <c r="I698" s="22"/>
      <c r="J698" s="22"/>
      <c r="K698" s="22"/>
      <c r="L698" s="22"/>
      <c r="M698" s="22"/>
      <c r="N698" s="22"/>
      <c r="O698" s="22"/>
      <c r="P698" s="22"/>
      <c r="Q698" s="27"/>
      <c r="R698" s="22"/>
      <c r="S698" s="22"/>
      <c r="T698" s="22"/>
      <c r="U698" s="22"/>
      <c r="V698" s="22"/>
      <c r="W698" s="22"/>
      <c r="X698" s="22"/>
      <c r="Y698" s="22"/>
      <c r="Z698" s="22"/>
      <c r="AA698" s="22"/>
      <c r="AB698" s="22"/>
    </row>
    <row r="699" spans="1:28" x14ac:dyDescent="0.3">
      <c r="A699" s="22"/>
      <c r="B699" s="22"/>
      <c r="C699" s="22"/>
      <c r="D699" s="22"/>
      <c r="E699" s="22"/>
      <c r="F699" s="22"/>
      <c r="G699" s="22"/>
      <c r="H699" s="22"/>
      <c r="I699" s="22"/>
      <c r="J699" s="22"/>
      <c r="K699" s="22"/>
      <c r="L699" s="22"/>
      <c r="M699" s="22"/>
      <c r="N699" s="22"/>
      <c r="O699" s="22"/>
      <c r="P699" s="22"/>
      <c r="Q699" s="27"/>
      <c r="R699" s="22"/>
      <c r="S699" s="22"/>
      <c r="T699" s="22"/>
      <c r="U699" s="22"/>
      <c r="V699" s="22"/>
      <c r="W699" s="22"/>
      <c r="X699" s="22"/>
      <c r="Y699" s="22"/>
      <c r="Z699" s="22"/>
      <c r="AA699" s="22"/>
      <c r="AB699" s="22"/>
    </row>
    <row r="700" spans="1:28" x14ac:dyDescent="0.3">
      <c r="A700" s="22"/>
      <c r="B700" s="22"/>
      <c r="C700" s="22"/>
      <c r="D700" s="22"/>
      <c r="E700" s="22"/>
      <c r="F700" s="22"/>
      <c r="G700" s="22"/>
      <c r="H700" s="22"/>
      <c r="I700" s="22"/>
      <c r="J700" s="22"/>
      <c r="K700" s="22"/>
      <c r="L700" s="22"/>
      <c r="M700" s="22"/>
      <c r="N700" s="22"/>
      <c r="O700" s="22"/>
      <c r="P700" s="22"/>
      <c r="Q700" s="27"/>
      <c r="R700" s="22"/>
      <c r="S700" s="22"/>
      <c r="T700" s="22"/>
      <c r="U700" s="22"/>
      <c r="V700" s="22"/>
      <c r="W700" s="22"/>
      <c r="X700" s="22"/>
      <c r="Y700" s="22"/>
      <c r="Z700" s="22"/>
      <c r="AA700" s="22"/>
      <c r="AB700" s="22"/>
    </row>
    <row r="701" spans="1:28" x14ac:dyDescent="0.3">
      <c r="A701" s="22"/>
      <c r="B701" s="22"/>
      <c r="C701" s="22"/>
      <c r="D701" s="22"/>
      <c r="E701" s="22"/>
      <c r="F701" s="22"/>
      <c r="G701" s="22"/>
      <c r="H701" s="22"/>
      <c r="I701" s="22"/>
      <c r="J701" s="22"/>
      <c r="K701" s="22"/>
      <c r="L701" s="22"/>
      <c r="M701" s="22"/>
      <c r="N701" s="22"/>
      <c r="O701" s="22"/>
      <c r="P701" s="22"/>
      <c r="Q701" s="27"/>
      <c r="R701" s="22"/>
      <c r="S701" s="22"/>
      <c r="T701" s="22"/>
      <c r="U701" s="22"/>
      <c r="V701" s="22"/>
      <c r="W701" s="22"/>
      <c r="X701" s="22"/>
      <c r="Y701" s="22"/>
      <c r="Z701" s="22"/>
      <c r="AA701" s="22"/>
      <c r="AB701" s="22"/>
    </row>
    <row r="702" spans="1:28" x14ac:dyDescent="0.3">
      <c r="A702" s="22"/>
      <c r="B702" s="22"/>
      <c r="C702" s="22"/>
      <c r="D702" s="22"/>
      <c r="E702" s="22"/>
      <c r="F702" s="22"/>
      <c r="G702" s="22"/>
      <c r="H702" s="22"/>
      <c r="I702" s="22"/>
      <c r="J702" s="22"/>
      <c r="K702" s="22"/>
      <c r="L702" s="22"/>
      <c r="M702" s="22"/>
      <c r="N702" s="22"/>
      <c r="O702" s="22"/>
      <c r="P702" s="22"/>
      <c r="Q702" s="27"/>
      <c r="R702" s="22"/>
      <c r="S702" s="22"/>
      <c r="T702" s="22"/>
      <c r="U702" s="22"/>
      <c r="V702" s="22"/>
      <c r="W702" s="22"/>
      <c r="X702" s="22"/>
      <c r="Y702" s="22"/>
      <c r="Z702" s="22"/>
      <c r="AA702" s="22"/>
      <c r="AB702" s="22"/>
    </row>
    <row r="703" spans="1:28" x14ac:dyDescent="0.3">
      <c r="A703" s="22"/>
      <c r="B703" s="22"/>
      <c r="C703" s="22"/>
      <c r="D703" s="22"/>
      <c r="E703" s="22"/>
      <c r="F703" s="22"/>
      <c r="G703" s="22"/>
      <c r="H703" s="22"/>
      <c r="I703" s="22"/>
      <c r="J703" s="22"/>
      <c r="K703" s="22"/>
      <c r="L703" s="22"/>
      <c r="M703" s="22"/>
      <c r="N703" s="22"/>
      <c r="O703" s="22"/>
      <c r="P703" s="22"/>
      <c r="Q703" s="27"/>
      <c r="R703" s="22"/>
      <c r="S703" s="22"/>
      <c r="T703" s="22"/>
      <c r="U703" s="22"/>
      <c r="V703" s="22"/>
      <c r="W703" s="22"/>
      <c r="X703" s="22"/>
      <c r="Y703" s="22"/>
      <c r="Z703" s="22"/>
      <c r="AA703" s="22"/>
      <c r="AB703" s="22"/>
    </row>
    <row r="704" spans="1:28" x14ac:dyDescent="0.3">
      <c r="A704" s="22"/>
      <c r="B704" s="22"/>
      <c r="C704" s="22"/>
      <c r="D704" s="22"/>
      <c r="E704" s="22"/>
      <c r="F704" s="22"/>
      <c r="G704" s="22"/>
      <c r="H704" s="22"/>
      <c r="I704" s="22"/>
      <c r="J704" s="22"/>
      <c r="K704" s="22"/>
      <c r="L704" s="22"/>
      <c r="M704" s="22"/>
      <c r="N704" s="22"/>
      <c r="O704" s="22"/>
      <c r="P704" s="22"/>
      <c r="Q704" s="27"/>
      <c r="R704" s="22"/>
      <c r="S704" s="22"/>
      <c r="T704" s="22"/>
      <c r="U704" s="22"/>
      <c r="V704" s="22"/>
      <c r="W704" s="22"/>
      <c r="X704" s="22"/>
      <c r="Y704" s="22"/>
      <c r="Z704" s="22"/>
      <c r="AA704" s="22"/>
      <c r="AB704" s="22"/>
    </row>
    <row r="705" spans="1:28" x14ac:dyDescent="0.3">
      <c r="A705" s="22"/>
      <c r="B705" s="22"/>
      <c r="C705" s="22"/>
      <c r="D705" s="22"/>
      <c r="E705" s="22"/>
      <c r="F705" s="22"/>
      <c r="G705" s="22"/>
      <c r="H705" s="22"/>
      <c r="I705" s="22"/>
      <c r="J705" s="22"/>
      <c r="K705" s="22"/>
      <c r="L705" s="22"/>
      <c r="M705" s="22"/>
      <c r="N705" s="22"/>
      <c r="O705" s="22"/>
      <c r="P705" s="22"/>
      <c r="Q705" s="27"/>
      <c r="R705" s="22"/>
      <c r="S705" s="22"/>
      <c r="T705" s="22"/>
      <c r="U705" s="22"/>
      <c r="V705" s="22"/>
      <c r="W705" s="22"/>
      <c r="X705" s="22"/>
      <c r="Y705" s="22"/>
      <c r="Z705" s="22"/>
      <c r="AA705" s="22"/>
      <c r="AB705" s="22"/>
    </row>
    <row r="706" spans="1:28" x14ac:dyDescent="0.3">
      <c r="A706" s="22"/>
      <c r="B706" s="22"/>
      <c r="C706" s="22"/>
      <c r="D706" s="22"/>
      <c r="E706" s="22"/>
      <c r="F706" s="22"/>
      <c r="G706" s="22"/>
      <c r="H706" s="22"/>
      <c r="I706" s="22"/>
      <c r="J706" s="22"/>
      <c r="K706" s="22"/>
      <c r="L706" s="22"/>
      <c r="M706" s="22"/>
      <c r="N706" s="22"/>
      <c r="O706" s="22"/>
      <c r="P706" s="22"/>
      <c r="Q706" s="27"/>
      <c r="R706" s="22"/>
      <c r="S706" s="22"/>
      <c r="T706" s="22"/>
      <c r="U706" s="22"/>
      <c r="V706" s="22"/>
      <c r="W706" s="22"/>
      <c r="X706" s="22"/>
      <c r="Y706" s="22"/>
      <c r="Z706" s="22"/>
      <c r="AA706" s="22"/>
      <c r="AB706" s="22"/>
    </row>
    <row r="707" spans="1:28" x14ac:dyDescent="0.3">
      <c r="A707" s="22"/>
      <c r="B707" s="22"/>
      <c r="C707" s="22"/>
      <c r="D707" s="22"/>
      <c r="E707" s="22"/>
      <c r="F707" s="22"/>
      <c r="G707" s="22"/>
      <c r="H707" s="22"/>
      <c r="I707" s="22"/>
      <c r="J707" s="22"/>
      <c r="K707" s="22"/>
      <c r="L707" s="22"/>
      <c r="M707" s="22"/>
      <c r="N707" s="22"/>
      <c r="O707" s="22"/>
      <c r="P707" s="22"/>
      <c r="Q707" s="27"/>
      <c r="R707" s="22"/>
      <c r="S707" s="22"/>
      <c r="T707" s="22"/>
      <c r="U707" s="22"/>
      <c r="V707" s="22"/>
      <c r="W707" s="22"/>
      <c r="X707" s="22"/>
      <c r="Y707" s="22"/>
      <c r="Z707" s="22"/>
      <c r="AA707" s="22"/>
      <c r="AB707" s="22"/>
    </row>
    <row r="708" spans="1:28" x14ac:dyDescent="0.3">
      <c r="A708" s="22"/>
      <c r="B708" s="22"/>
      <c r="C708" s="22"/>
      <c r="D708" s="22"/>
      <c r="E708" s="22"/>
      <c r="F708" s="22"/>
      <c r="G708" s="22"/>
      <c r="H708" s="22"/>
      <c r="I708" s="22"/>
      <c r="J708" s="22"/>
      <c r="K708" s="22"/>
      <c r="L708" s="22"/>
      <c r="M708" s="22"/>
      <c r="N708" s="22"/>
      <c r="O708" s="22"/>
      <c r="P708" s="22"/>
      <c r="Q708" s="27"/>
      <c r="R708" s="22"/>
      <c r="S708" s="22"/>
      <c r="T708" s="22"/>
      <c r="U708" s="22"/>
      <c r="V708" s="22"/>
      <c r="W708" s="22"/>
      <c r="X708" s="22"/>
      <c r="Y708" s="22"/>
      <c r="Z708" s="22"/>
      <c r="AA708" s="22"/>
      <c r="AB708" s="22"/>
    </row>
    <row r="709" spans="1:28" x14ac:dyDescent="0.3">
      <c r="A709" s="22"/>
      <c r="B709" s="22"/>
      <c r="C709" s="22"/>
      <c r="D709" s="22"/>
      <c r="E709" s="22"/>
      <c r="F709" s="22"/>
      <c r="G709" s="22"/>
      <c r="H709" s="22"/>
      <c r="I709" s="22"/>
      <c r="J709" s="22"/>
      <c r="K709" s="22"/>
      <c r="L709" s="22"/>
      <c r="M709" s="22"/>
      <c r="N709" s="22"/>
      <c r="O709" s="22"/>
      <c r="P709" s="22"/>
      <c r="Q709" s="27"/>
      <c r="R709" s="22"/>
      <c r="S709" s="22"/>
      <c r="T709" s="22"/>
      <c r="U709" s="22"/>
      <c r="V709" s="22"/>
      <c r="W709" s="22"/>
      <c r="X709" s="22"/>
      <c r="Y709" s="22"/>
      <c r="Z709" s="22"/>
      <c r="AA709" s="22"/>
      <c r="AB709" s="22"/>
    </row>
    <row r="710" spans="1:28" x14ac:dyDescent="0.3">
      <c r="A710" s="22"/>
      <c r="B710" s="22"/>
      <c r="C710" s="22"/>
      <c r="D710" s="22"/>
      <c r="E710" s="22"/>
      <c r="F710" s="22"/>
      <c r="G710" s="22"/>
      <c r="H710" s="22"/>
      <c r="I710" s="22"/>
      <c r="J710" s="22"/>
      <c r="K710" s="22"/>
      <c r="L710" s="22"/>
      <c r="M710" s="22"/>
      <c r="N710" s="22"/>
      <c r="O710" s="22"/>
      <c r="P710" s="22"/>
      <c r="Q710" s="27"/>
      <c r="R710" s="22"/>
      <c r="S710" s="22"/>
      <c r="T710" s="22"/>
      <c r="U710" s="22"/>
      <c r="V710" s="22"/>
      <c r="W710" s="22"/>
      <c r="X710" s="22"/>
      <c r="Y710" s="22"/>
      <c r="Z710" s="22"/>
      <c r="AA710" s="22"/>
      <c r="AB710" s="22"/>
    </row>
    <row r="711" spans="1:28" x14ac:dyDescent="0.3">
      <c r="A711" s="22"/>
      <c r="B711" s="22"/>
      <c r="C711" s="22"/>
      <c r="D711" s="22"/>
      <c r="E711" s="22"/>
      <c r="F711" s="22"/>
      <c r="G711" s="22"/>
      <c r="H711" s="22"/>
      <c r="I711" s="22"/>
      <c r="J711" s="22"/>
      <c r="K711" s="22"/>
      <c r="L711" s="22"/>
      <c r="M711" s="22"/>
      <c r="N711" s="22"/>
      <c r="O711" s="22"/>
      <c r="P711" s="22"/>
      <c r="Q711" s="27"/>
      <c r="R711" s="22"/>
      <c r="S711" s="22"/>
      <c r="T711" s="22"/>
      <c r="U711" s="22"/>
      <c r="V711" s="22"/>
      <c r="W711" s="22"/>
      <c r="X711" s="22"/>
      <c r="Y711" s="22"/>
      <c r="Z711" s="22"/>
      <c r="AA711" s="22"/>
      <c r="AB711" s="22"/>
    </row>
    <row r="712" spans="1:28" x14ac:dyDescent="0.3">
      <c r="A712" s="22"/>
      <c r="B712" s="22"/>
      <c r="C712" s="22"/>
      <c r="D712" s="22"/>
      <c r="E712" s="22"/>
      <c r="F712" s="22"/>
      <c r="G712" s="22"/>
      <c r="H712" s="22"/>
      <c r="I712" s="22"/>
      <c r="J712" s="22"/>
      <c r="K712" s="22"/>
      <c r="L712" s="22"/>
      <c r="M712" s="22"/>
      <c r="N712" s="22"/>
      <c r="O712" s="22"/>
      <c r="P712" s="22"/>
      <c r="Q712" s="27"/>
      <c r="R712" s="22"/>
      <c r="S712" s="22"/>
      <c r="T712" s="22"/>
      <c r="U712" s="22"/>
      <c r="V712" s="22"/>
      <c r="W712" s="22"/>
      <c r="X712" s="22"/>
      <c r="Y712" s="22"/>
      <c r="Z712" s="22"/>
      <c r="AA712" s="22"/>
      <c r="AB712" s="22"/>
    </row>
    <row r="713" spans="1:28" x14ac:dyDescent="0.3">
      <c r="A713" s="22"/>
      <c r="B713" s="22"/>
      <c r="C713" s="22"/>
      <c r="D713" s="22"/>
      <c r="E713" s="22"/>
      <c r="F713" s="22"/>
      <c r="G713" s="22"/>
      <c r="H713" s="22"/>
      <c r="I713" s="22"/>
      <c r="J713" s="22"/>
      <c r="K713" s="22"/>
      <c r="L713" s="22"/>
      <c r="M713" s="22"/>
      <c r="N713" s="22"/>
      <c r="O713" s="22"/>
      <c r="P713" s="22"/>
      <c r="Q713" s="27"/>
      <c r="R713" s="22"/>
      <c r="S713" s="22"/>
      <c r="T713" s="22"/>
      <c r="U713" s="22"/>
      <c r="V713" s="22"/>
      <c r="W713" s="22"/>
      <c r="X713" s="22"/>
      <c r="Y713" s="22"/>
      <c r="Z713" s="22"/>
      <c r="AA713" s="22"/>
      <c r="AB713" s="22"/>
    </row>
    <row r="714" spans="1:28" x14ac:dyDescent="0.3">
      <c r="A714" s="22"/>
      <c r="B714" s="22"/>
      <c r="C714" s="22"/>
      <c r="D714" s="22"/>
      <c r="E714" s="22"/>
      <c r="F714" s="22"/>
      <c r="G714" s="22"/>
      <c r="H714" s="22"/>
      <c r="I714" s="22"/>
      <c r="J714" s="22"/>
      <c r="K714" s="22"/>
      <c r="L714" s="22"/>
      <c r="M714" s="22"/>
      <c r="N714" s="22"/>
      <c r="O714" s="22"/>
      <c r="P714" s="22"/>
      <c r="Q714" s="27"/>
      <c r="R714" s="22"/>
      <c r="S714" s="22"/>
      <c r="T714" s="22"/>
      <c r="U714" s="22"/>
      <c r="V714" s="22"/>
      <c r="W714" s="22"/>
      <c r="X714" s="22"/>
      <c r="Y714" s="22"/>
      <c r="Z714" s="22"/>
      <c r="AA714" s="22"/>
      <c r="AB714" s="22"/>
    </row>
    <row r="715" spans="1:28" x14ac:dyDescent="0.3">
      <c r="A715" s="22"/>
      <c r="B715" s="22"/>
      <c r="C715" s="22"/>
      <c r="D715" s="22"/>
      <c r="E715" s="22"/>
      <c r="F715" s="22"/>
      <c r="G715" s="22"/>
      <c r="H715" s="22"/>
      <c r="I715" s="22"/>
      <c r="J715" s="22"/>
      <c r="K715" s="22"/>
      <c r="L715" s="22"/>
      <c r="M715" s="22"/>
      <c r="N715" s="22"/>
      <c r="O715" s="22"/>
      <c r="P715" s="22"/>
      <c r="Q715" s="27"/>
      <c r="R715" s="22"/>
      <c r="S715" s="22"/>
      <c r="T715" s="22"/>
      <c r="U715" s="22"/>
      <c r="V715" s="22"/>
      <c r="W715" s="22"/>
      <c r="X715" s="22"/>
      <c r="Y715" s="22"/>
      <c r="Z715" s="22"/>
      <c r="AA715" s="22"/>
      <c r="AB715" s="22"/>
    </row>
    <row r="716" spans="1:28" x14ac:dyDescent="0.3">
      <c r="A716" s="22"/>
      <c r="B716" s="22"/>
      <c r="C716" s="22"/>
      <c r="D716" s="22"/>
      <c r="E716" s="22"/>
      <c r="F716" s="22"/>
      <c r="G716" s="22"/>
      <c r="H716" s="22"/>
      <c r="I716" s="22"/>
      <c r="J716" s="22"/>
      <c r="K716" s="22"/>
      <c r="L716" s="22"/>
      <c r="M716" s="22"/>
      <c r="N716" s="22"/>
      <c r="O716" s="22"/>
      <c r="P716" s="22"/>
      <c r="Q716" s="27"/>
      <c r="R716" s="22"/>
      <c r="S716" s="22"/>
      <c r="T716" s="22"/>
      <c r="U716" s="22"/>
      <c r="V716" s="22"/>
      <c r="W716" s="22"/>
      <c r="X716" s="22"/>
      <c r="Y716" s="22"/>
      <c r="Z716" s="22"/>
      <c r="AA716" s="22"/>
      <c r="AB716" s="22"/>
    </row>
    <row r="717" spans="1:28" x14ac:dyDescent="0.3">
      <c r="A717" s="22"/>
      <c r="B717" s="22"/>
      <c r="C717" s="22"/>
      <c r="D717" s="22"/>
      <c r="E717" s="22"/>
      <c r="F717" s="22"/>
      <c r="G717" s="22"/>
      <c r="H717" s="22"/>
      <c r="I717" s="22"/>
      <c r="J717" s="22"/>
      <c r="K717" s="22"/>
      <c r="L717" s="22"/>
      <c r="M717" s="22"/>
      <c r="N717" s="22"/>
      <c r="O717" s="22"/>
      <c r="P717" s="22"/>
      <c r="Q717" s="27"/>
      <c r="R717" s="22"/>
      <c r="S717" s="22"/>
      <c r="T717" s="22"/>
      <c r="U717" s="22"/>
      <c r="V717" s="22"/>
      <c r="W717" s="22"/>
      <c r="X717" s="22"/>
      <c r="Y717" s="22"/>
      <c r="Z717" s="22"/>
      <c r="AA717" s="22"/>
      <c r="AB717" s="22"/>
    </row>
    <row r="718" spans="1:28" x14ac:dyDescent="0.3">
      <c r="A718" s="22"/>
      <c r="B718" s="22"/>
      <c r="C718" s="22"/>
      <c r="D718" s="22"/>
      <c r="E718" s="22"/>
      <c r="F718" s="22"/>
      <c r="G718" s="22"/>
      <c r="H718" s="22"/>
      <c r="I718" s="22"/>
      <c r="J718" s="22"/>
      <c r="K718" s="22"/>
      <c r="L718" s="22"/>
      <c r="M718" s="22"/>
      <c r="N718" s="22"/>
      <c r="O718" s="22"/>
      <c r="P718" s="22"/>
      <c r="Q718" s="27"/>
      <c r="R718" s="22"/>
      <c r="S718" s="22"/>
      <c r="T718" s="22"/>
      <c r="U718" s="22"/>
      <c r="V718" s="22"/>
      <c r="W718" s="22"/>
      <c r="X718" s="22"/>
      <c r="Y718" s="22"/>
      <c r="Z718" s="22"/>
      <c r="AA718" s="22"/>
      <c r="AB718" s="22"/>
    </row>
    <row r="719" spans="1:28" x14ac:dyDescent="0.3">
      <c r="A719" s="22"/>
      <c r="B719" s="22"/>
      <c r="C719" s="22"/>
      <c r="D719" s="22"/>
      <c r="E719" s="22"/>
      <c r="F719" s="22"/>
      <c r="G719" s="22"/>
      <c r="H719" s="22"/>
      <c r="I719" s="22"/>
      <c r="J719" s="22"/>
      <c r="K719" s="22"/>
      <c r="L719" s="22"/>
      <c r="M719" s="22"/>
      <c r="N719" s="22"/>
      <c r="O719" s="22"/>
      <c r="P719" s="22"/>
      <c r="Q719" s="27"/>
      <c r="R719" s="22"/>
      <c r="S719" s="22"/>
      <c r="T719" s="22"/>
      <c r="U719" s="22"/>
      <c r="V719" s="22"/>
      <c r="W719" s="22"/>
      <c r="X719" s="22"/>
      <c r="Y719" s="22"/>
      <c r="Z719" s="22"/>
      <c r="AA719" s="22"/>
      <c r="AB719" s="22"/>
    </row>
    <row r="720" spans="1:28" x14ac:dyDescent="0.3">
      <c r="A720" s="22"/>
      <c r="B720" s="22"/>
      <c r="C720" s="22"/>
      <c r="D720" s="22"/>
      <c r="E720" s="22"/>
      <c r="F720" s="22"/>
      <c r="G720" s="22"/>
      <c r="H720" s="22"/>
      <c r="I720" s="22"/>
      <c r="J720" s="22"/>
      <c r="K720" s="22"/>
      <c r="L720" s="22"/>
      <c r="M720" s="22"/>
      <c r="N720" s="22"/>
      <c r="O720" s="22"/>
      <c r="P720" s="22"/>
      <c r="Q720" s="27"/>
      <c r="R720" s="22"/>
      <c r="S720" s="22"/>
      <c r="T720" s="22"/>
      <c r="U720" s="22"/>
      <c r="V720" s="22"/>
      <c r="W720" s="22"/>
      <c r="X720" s="22"/>
      <c r="Y720" s="22"/>
      <c r="Z720" s="22"/>
      <c r="AA720" s="22"/>
      <c r="AB720" s="22"/>
    </row>
    <row r="721" spans="1:28" x14ac:dyDescent="0.3">
      <c r="A721" s="22"/>
      <c r="B721" s="22"/>
      <c r="C721" s="22"/>
      <c r="D721" s="22"/>
      <c r="E721" s="22"/>
      <c r="F721" s="22"/>
      <c r="G721" s="22"/>
      <c r="H721" s="22"/>
      <c r="I721" s="22"/>
      <c r="J721" s="22"/>
      <c r="K721" s="22"/>
      <c r="L721" s="22"/>
      <c r="M721" s="22"/>
      <c r="N721" s="22"/>
      <c r="O721" s="22"/>
      <c r="P721" s="22"/>
      <c r="Q721" s="27"/>
      <c r="R721" s="22"/>
      <c r="S721" s="22"/>
      <c r="T721" s="22"/>
      <c r="U721" s="22"/>
      <c r="V721" s="22"/>
      <c r="W721" s="22"/>
      <c r="X721" s="22"/>
      <c r="Y721" s="22"/>
      <c r="Z721" s="22"/>
      <c r="AA721" s="22"/>
      <c r="AB721" s="22"/>
    </row>
    <row r="722" spans="1:28" x14ac:dyDescent="0.3">
      <c r="A722" s="22"/>
      <c r="B722" s="22"/>
      <c r="C722" s="22"/>
      <c r="D722" s="22"/>
      <c r="E722" s="22"/>
      <c r="F722" s="22"/>
      <c r="G722" s="22"/>
      <c r="H722" s="22"/>
      <c r="I722" s="22"/>
      <c r="J722" s="22"/>
      <c r="K722" s="22"/>
      <c r="L722" s="22"/>
      <c r="M722" s="22"/>
      <c r="N722" s="22"/>
      <c r="O722" s="22"/>
      <c r="P722" s="22"/>
      <c r="Q722" s="27"/>
      <c r="R722" s="22"/>
      <c r="S722" s="22"/>
      <c r="T722" s="22"/>
      <c r="U722" s="22"/>
      <c r="V722" s="22"/>
      <c r="W722" s="22"/>
      <c r="X722" s="22"/>
      <c r="Y722" s="22"/>
      <c r="Z722" s="22"/>
      <c r="AA722" s="22"/>
      <c r="AB722" s="22"/>
    </row>
    <row r="723" spans="1:28" x14ac:dyDescent="0.3">
      <c r="A723" s="22"/>
      <c r="B723" s="22"/>
      <c r="C723" s="22"/>
      <c r="D723" s="22"/>
      <c r="E723" s="22"/>
      <c r="F723" s="22"/>
      <c r="G723" s="22"/>
      <c r="H723" s="22"/>
      <c r="I723" s="22"/>
      <c r="J723" s="22"/>
      <c r="K723" s="22"/>
      <c r="L723" s="22"/>
      <c r="M723" s="22"/>
      <c r="N723" s="22"/>
      <c r="O723" s="22"/>
      <c r="P723" s="22"/>
      <c r="Q723" s="27"/>
      <c r="R723" s="22"/>
      <c r="S723" s="22"/>
      <c r="T723" s="22"/>
      <c r="U723" s="22"/>
      <c r="V723" s="22"/>
      <c r="W723" s="22"/>
      <c r="X723" s="22"/>
      <c r="Y723" s="22"/>
      <c r="Z723" s="22"/>
      <c r="AA723" s="22"/>
      <c r="AB723" s="22"/>
    </row>
    <row r="724" spans="1:28" x14ac:dyDescent="0.3">
      <c r="A724" s="22"/>
      <c r="B724" s="22"/>
      <c r="C724" s="22"/>
      <c r="D724" s="22"/>
      <c r="E724" s="22"/>
      <c r="F724" s="22"/>
      <c r="G724" s="22"/>
      <c r="H724" s="22"/>
      <c r="I724" s="22"/>
      <c r="J724" s="22"/>
      <c r="K724" s="22"/>
      <c r="L724" s="22"/>
      <c r="M724" s="22"/>
      <c r="N724" s="22"/>
      <c r="O724" s="22"/>
      <c r="P724" s="22"/>
      <c r="Q724" s="27"/>
      <c r="R724" s="22"/>
      <c r="S724" s="22"/>
      <c r="T724" s="22"/>
      <c r="U724" s="22"/>
      <c r="V724" s="22"/>
      <c r="W724" s="22"/>
      <c r="X724" s="22"/>
      <c r="Y724" s="22"/>
      <c r="Z724" s="22"/>
      <c r="AA724" s="22"/>
      <c r="AB724" s="22"/>
    </row>
    <row r="725" spans="1:28" x14ac:dyDescent="0.3">
      <c r="A725" s="22"/>
      <c r="B725" s="22"/>
      <c r="C725" s="22"/>
      <c r="D725" s="22"/>
      <c r="E725" s="22"/>
      <c r="F725" s="22"/>
      <c r="G725" s="22"/>
      <c r="H725" s="22"/>
      <c r="I725" s="22"/>
      <c r="J725" s="22"/>
      <c r="K725" s="22"/>
      <c r="L725" s="22"/>
      <c r="M725" s="22"/>
      <c r="N725" s="22"/>
      <c r="O725" s="22"/>
      <c r="P725" s="22"/>
      <c r="Q725" s="27"/>
      <c r="R725" s="22"/>
      <c r="S725" s="22"/>
      <c r="T725" s="22"/>
      <c r="U725" s="22"/>
      <c r="V725" s="22"/>
      <c r="W725" s="22"/>
      <c r="X725" s="22"/>
      <c r="Y725" s="22"/>
      <c r="Z725" s="22"/>
      <c r="AA725" s="22"/>
      <c r="AB725" s="22"/>
    </row>
    <row r="726" spans="1:28" x14ac:dyDescent="0.3">
      <c r="A726" s="22"/>
      <c r="B726" s="22"/>
      <c r="C726" s="22"/>
      <c r="D726" s="22"/>
      <c r="E726" s="22"/>
      <c r="F726" s="22"/>
      <c r="G726" s="22"/>
      <c r="H726" s="22"/>
      <c r="I726" s="22"/>
      <c r="J726" s="22"/>
      <c r="K726" s="22"/>
      <c r="L726" s="22"/>
      <c r="M726" s="22"/>
      <c r="N726" s="22"/>
      <c r="O726" s="22"/>
      <c r="P726" s="22"/>
      <c r="Q726" s="27"/>
      <c r="R726" s="22"/>
      <c r="S726" s="22"/>
      <c r="T726" s="22"/>
      <c r="U726" s="22"/>
      <c r="V726" s="22"/>
      <c r="W726" s="22"/>
      <c r="X726" s="22"/>
      <c r="Y726" s="22"/>
      <c r="Z726" s="22"/>
      <c r="AA726" s="22"/>
      <c r="AB726" s="22"/>
    </row>
    <row r="727" spans="1:28" x14ac:dyDescent="0.3">
      <c r="A727" s="22"/>
      <c r="B727" s="22"/>
      <c r="C727" s="22"/>
      <c r="D727" s="22"/>
      <c r="E727" s="22"/>
      <c r="F727" s="22"/>
      <c r="G727" s="22"/>
      <c r="H727" s="22"/>
      <c r="I727" s="22"/>
      <c r="J727" s="22"/>
      <c r="K727" s="22"/>
      <c r="L727" s="22"/>
      <c r="M727" s="22"/>
      <c r="N727" s="22"/>
      <c r="O727" s="22"/>
      <c r="P727" s="22"/>
      <c r="Q727" s="27"/>
      <c r="R727" s="22"/>
      <c r="S727" s="22"/>
      <c r="T727" s="22"/>
      <c r="U727" s="22"/>
      <c r="V727" s="22"/>
      <c r="W727" s="22"/>
      <c r="X727" s="22"/>
      <c r="Y727" s="22"/>
      <c r="Z727" s="22"/>
      <c r="AA727" s="22"/>
      <c r="AB727" s="22"/>
    </row>
    <row r="728" spans="1:28" x14ac:dyDescent="0.3">
      <c r="A728" s="22"/>
      <c r="B728" s="22"/>
      <c r="C728" s="22"/>
      <c r="D728" s="22"/>
      <c r="E728" s="22"/>
      <c r="F728" s="22"/>
      <c r="G728" s="22"/>
      <c r="H728" s="22"/>
      <c r="I728" s="22"/>
      <c r="J728" s="22"/>
      <c r="K728" s="22"/>
      <c r="L728" s="22"/>
      <c r="M728" s="22"/>
      <c r="N728" s="22"/>
      <c r="O728" s="22"/>
      <c r="P728" s="22"/>
      <c r="Q728" s="27"/>
      <c r="R728" s="22"/>
      <c r="S728" s="22"/>
      <c r="T728" s="22"/>
      <c r="U728" s="22"/>
      <c r="V728" s="22"/>
      <c r="W728" s="22"/>
      <c r="X728" s="22"/>
      <c r="Y728" s="22"/>
      <c r="Z728" s="22"/>
      <c r="AA728" s="22"/>
      <c r="AB728" s="22"/>
    </row>
    <row r="729" spans="1:28" x14ac:dyDescent="0.3">
      <c r="A729" s="22"/>
      <c r="B729" s="22"/>
      <c r="C729" s="22"/>
      <c r="D729" s="22"/>
      <c r="E729" s="22"/>
      <c r="F729" s="22"/>
      <c r="G729" s="22"/>
      <c r="H729" s="22"/>
      <c r="I729" s="22"/>
      <c r="J729" s="22"/>
      <c r="K729" s="22"/>
      <c r="L729" s="22"/>
      <c r="M729" s="22"/>
      <c r="N729" s="22"/>
      <c r="O729" s="22"/>
      <c r="P729" s="22"/>
      <c r="Q729" s="27"/>
      <c r="R729" s="22"/>
      <c r="S729" s="22"/>
      <c r="T729" s="22"/>
      <c r="U729" s="22"/>
      <c r="V729" s="22"/>
      <c r="W729" s="22"/>
      <c r="X729" s="22"/>
      <c r="Y729" s="22"/>
      <c r="Z729" s="22"/>
      <c r="AA729" s="22"/>
      <c r="AB729" s="22"/>
    </row>
    <row r="730" spans="1:28" x14ac:dyDescent="0.3">
      <c r="A730" s="22"/>
      <c r="B730" s="22"/>
      <c r="C730" s="22"/>
      <c r="D730" s="22"/>
      <c r="E730" s="22"/>
      <c r="F730" s="22"/>
      <c r="G730" s="22"/>
      <c r="H730" s="22"/>
      <c r="I730" s="22"/>
      <c r="J730" s="22"/>
      <c r="K730" s="22"/>
      <c r="L730" s="22"/>
      <c r="M730" s="22"/>
      <c r="N730" s="22"/>
      <c r="O730" s="22"/>
      <c r="P730" s="22"/>
      <c r="Q730" s="27"/>
      <c r="R730" s="22"/>
      <c r="S730" s="22"/>
      <c r="T730" s="22"/>
      <c r="U730" s="22"/>
      <c r="V730" s="22"/>
      <c r="W730" s="22"/>
      <c r="X730" s="22"/>
      <c r="Y730" s="22"/>
      <c r="Z730" s="22"/>
      <c r="AA730" s="22"/>
      <c r="AB730" s="22"/>
    </row>
    <row r="731" spans="1:28" x14ac:dyDescent="0.3">
      <c r="A731" s="22"/>
      <c r="B731" s="22"/>
      <c r="C731" s="22"/>
      <c r="D731" s="22"/>
      <c r="E731" s="22"/>
      <c r="F731" s="22"/>
      <c r="G731" s="22"/>
      <c r="H731" s="22"/>
      <c r="I731" s="22"/>
      <c r="J731" s="22"/>
      <c r="K731" s="22"/>
      <c r="L731" s="22"/>
      <c r="M731" s="22"/>
      <c r="N731" s="22"/>
      <c r="O731" s="22"/>
      <c r="P731" s="22"/>
      <c r="Q731" s="27"/>
      <c r="R731" s="22"/>
      <c r="S731" s="22"/>
      <c r="T731" s="22"/>
      <c r="U731" s="22"/>
      <c r="V731" s="22"/>
      <c r="W731" s="22"/>
      <c r="X731" s="22"/>
      <c r="Y731" s="22"/>
      <c r="Z731" s="22"/>
      <c r="AA731" s="22"/>
      <c r="AB731" s="22"/>
    </row>
    <row r="732" spans="1:28" x14ac:dyDescent="0.3">
      <c r="A732" s="22"/>
      <c r="B732" s="22"/>
      <c r="C732" s="22"/>
      <c r="D732" s="22"/>
      <c r="E732" s="22"/>
      <c r="F732" s="22"/>
      <c r="G732" s="22"/>
      <c r="H732" s="22"/>
      <c r="I732" s="22"/>
      <c r="J732" s="22"/>
      <c r="K732" s="22"/>
      <c r="L732" s="22"/>
      <c r="M732" s="22"/>
      <c r="N732" s="22"/>
      <c r="O732" s="22"/>
      <c r="P732" s="22"/>
      <c r="Q732" s="27"/>
      <c r="R732" s="22"/>
      <c r="S732" s="22"/>
      <c r="T732" s="22"/>
      <c r="U732" s="22"/>
      <c r="V732" s="22"/>
      <c r="W732" s="22"/>
      <c r="X732" s="22"/>
      <c r="Y732" s="22"/>
      <c r="Z732" s="22"/>
      <c r="AA732" s="22"/>
      <c r="AB732" s="22"/>
    </row>
    <row r="733" spans="1:28" x14ac:dyDescent="0.3">
      <c r="A733" s="22"/>
      <c r="B733" s="22"/>
      <c r="C733" s="22"/>
      <c r="D733" s="22"/>
      <c r="E733" s="22"/>
      <c r="F733" s="22"/>
      <c r="G733" s="22"/>
      <c r="H733" s="22"/>
      <c r="I733" s="22"/>
      <c r="J733" s="22"/>
      <c r="K733" s="22"/>
      <c r="L733" s="22"/>
      <c r="M733" s="22"/>
      <c r="N733" s="22"/>
      <c r="O733" s="22"/>
      <c r="P733" s="22"/>
      <c r="Q733" s="27"/>
      <c r="R733" s="22"/>
      <c r="S733" s="22"/>
      <c r="T733" s="22"/>
      <c r="U733" s="22"/>
      <c r="V733" s="22"/>
      <c r="W733" s="22"/>
      <c r="X733" s="22"/>
      <c r="Y733" s="22"/>
      <c r="Z733" s="22"/>
      <c r="AA733" s="22"/>
      <c r="AB733" s="22"/>
    </row>
    <row r="734" spans="1:28" x14ac:dyDescent="0.3">
      <c r="A734" s="22"/>
      <c r="B734" s="22"/>
      <c r="C734" s="22"/>
      <c r="D734" s="22"/>
      <c r="E734" s="22"/>
      <c r="F734" s="22"/>
      <c r="G734" s="22"/>
      <c r="H734" s="22"/>
      <c r="I734" s="22"/>
      <c r="J734" s="22"/>
      <c r="K734" s="22"/>
      <c r="L734" s="22"/>
      <c r="M734" s="22"/>
      <c r="N734" s="22"/>
      <c r="O734" s="22"/>
      <c r="P734" s="22"/>
      <c r="Q734" s="27"/>
      <c r="R734" s="22"/>
      <c r="S734" s="22"/>
      <c r="T734" s="22"/>
      <c r="U734" s="22"/>
      <c r="V734" s="22"/>
      <c r="W734" s="22"/>
      <c r="X734" s="22"/>
      <c r="Y734" s="22"/>
      <c r="Z734" s="22"/>
      <c r="AA734" s="22"/>
      <c r="AB734" s="22"/>
    </row>
    <row r="735" spans="1:28" x14ac:dyDescent="0.3">
      <c r="A735" s="22"/>
      <c r="B735" s="22"/>
      <c r="C735" s="22"/>
      <c r="D735" s="22"/>
      <c r="E735" s="22"/>
      <c r="F735" s="22"/>
      <c r="G735" s="22"/>
      <c r="H735" s="22"/>
      <c r="I735" s="22"/>
      <c r="J735" s="22"/>
      <c r="K735" s="22"/>
      <c r="L735" s="22"/>
      <c r="M735" s="22"/>
      <c r="N735" s="22"/>
      <c r="O735" s="22"/>
      <c r="P735" s="22"/>
      <c r="Q735" s="27"/>
      <c r="R735" s="22"/>
      <c r="S735" s="22"/>
      <c r="T735" s="22"/>
      <c r="U735" s="22"/>
      <c r="V735" s="22"/>
      <c r="W735" s="22"/>
      <c r="X735" s="22"/>
      <c r="Y735" s="22"/>
      <c r="Z735" s="22"/>
      <c r="AA735" s="22"/>
      <c r="AB735" s="22"/>
    </row>
    <row r="736" spans="1:28" x14ac:dyDescent="0.3">
      <c r="A736" s="22"/>
      <c r="B736" s="22"/>
      <c r="C736" s="22"/>
      <c r="D736" s="22"/>
      <c r="E736" s="22"/>
      <c r="F736" s="22"/>
      <c r="G736" s="22"/>
      <c r="H736" s="22"/>
      <c r="I736" s="22"/>
      <c r="J736" s="22"/>
      <c r="K736" s="22"/>
      <c r="L736" s="22"/>
      <c r="M736" s="22"/>
      <c r="N736" s="22"/>
      <c r="O736" s="22"/>
      <c r="P736" s="22"/>
      <c r="Q736" s="27"/>
      <c r="R736" s="22"/>
      <c r="S736" s="22"/>
      <c r="T736" s="22"/>
      <c r="U736" s="22"/>
      <c r="V736" s="22"/>
      <c r="W736" s="22"/>
      <c r="X736" s="22"/>
      <c r="Y736" s="22"/>
      <c r="Z736" s="22"/>
      <c r="AA736" s="22"/>
      <c r="AB736" s="22"/>
    </row>
    <row r="737" spans="1:28" x14ac:dyDescent="0.3">
      <c r="A737" s="22"/>
      <c r="B737" s="22"/>
      <c r="C737" s="22"/>
      <c r="D737" s="22"/>
      <c r="E737" s="22"/>
      <c r="F737" s="22"/>
      <c r="G737" s="22"/>
      <c r="H737" s="22"/>
      <c r="I737" s="22"/>
      <c r="J737" s="22"/>
      <c r="K737" s="22"/>
      <c r="L737" s="22"/>
      <c r="M737" s="22"/>
      <c r="N737" s="22"/>
      <c r="O737" s="22"/>
      <c r="P737" s="22"/>
      <c r="Q737" s="27"/>
      <c r="R737" s="22"/>
      <c r="S737" s="22"/>
      <c r="T737" s="22"/>
      <c r="U737" s="22"/>
      <c r="V737" s="22"/>
      <c r="W737" s="22"/>
      <c r="X737" s="22"/>
      <c r="Y737" s="22"/>
      <c r="Z737" s="22"/>
      <c r="AA737" s="22"/>
      <c r="AB737" s="22"/>
    </row>
    <row r="738" spans="1:28" x14ac:dyDescent="0.3">
      <c r="A738" s="22"/>
      <c r="B738" s="22"/>
      <c r="C738" s="22"/>
      <c r="D738" s="22"/>
      <c r="E738" s="22"/>
      <c r="F738" s="22"/>
      <c r="G738" s="22"/>
      <c r="H738" s="22"/>
      <c r="I738" s="22"/>
      <c r="J738" s="22"/>
      <c r="K738" s="22"/>
      <c r="L738" s="22"/>
      <c r="M738" s="22"/>
      <c r="N738" s="22"/>
      <c r="O738" s="22"/>
      <c r="P738" s="22"/>
      <c r="Q738" s="27"/>
      <c r="R738" s="22"/>
      <c r="S738" s="22"/>
      <c r="T738" s="22"/>
      <c r="U738" s="22"/>
      <c r="V738" s="22"/>
      <c r="W738" s="22"/>
      <c r="X738" s="22"/>
      <c r="Y738" s="22"/>
      <c r="Z738" s="22"/>
      <c r="AA738" s="22"/>
      <c r="AB738" s="22"/>
    </row>
    <row r="739" spans="1:28" x14ac:dyDescent="0.3">
      <c r="A739" s="22"/>
      <c r="B739" s="22"/>
      <c r="C739" s="22"/>
      <c r="D739" s="22"/>
      <c r="E739" s="22"/>
      <c r="F739" s="22"/>
      <c r="G739" s="22"/>
      <c r="H739" s="22"/>
      <c r="I739" s="22"/>
      <c r="J739" s="22"/>
      <c r="K739" s="22"/>
      <c r="L739" s="22"/>
      <c r="M739" s="22"/>
      <c r="N739" s="22"/>
      <c r="O739" s="22"/>
      <c r="P739" s="22"/>
      <c r="Q739" s="27"/>
      <c r="R739" s="22"/>
      <c r="S739" s="22"/>
      <c r="T739" s="22"/>
      <c r="U739" s="22"/>
      <c r="V739" s="22"/>
      <c r="W739" s="22"/>
      <c r="X739" s="22"/>
      <c r="Y739" s="22"/>
      <c r="Z739" s="22"/>
      <c r="AA739" s="22"/>
      <c r="AB739" s="22"/>
    </row>
    <row r="740" spans="1:28" x14ac:dyDescent="0.3">
      <c r="A740" s="22"/>
      <c r="B740" s="22"/>
      <c r="C740" s="22"/>
      <c r="D740" s="22"/>
      <c r="E740" s="22"/>
      <c r="F740" s="22"/>
      <c r="G740" s="22"/>
      <c r="H740" s="22"/>
      <c r="I740" s="22"/>
      <c r="J740" s="22"/>
      <c r="K740" s="22"/>
      <c r="L740" s="22"/>
      <c r="M740" s="22"/>
      <c r="N740" s="22"/>
      <c r="O740" s="22"/>
      <c r="P740" s="22"/>
      <c r="Q740" s="27"/>
      <c r="R740" s="22"/>
      <c r="S740" s="22"/>
      <c r="T740" s="22"/>
      <c r="U740" s="22"/>
      <c r="V740" s="22"/>
      <c r="W740" s="22"/>
      <c r="X740" s="22"/>
      <c r="Y740" s="22"/>
      <c r="Z740" s="22"/>
      <c r="AA740" s="22"/>
      <c r="AB740" s="22"/>
    </row>
    <row r="741" spans="1:28" x14ac:dyDescent="0.3">
      <c r="A741" s="22"/>
      <c r="B741" s="22"/>
      <c r="C741" s="22"/>
      <c r="D741" s="22"/>
      <c r="E741" s="22"/>
      <c r="F741" s="22"/>
      <c r="G741" s="22"/>
      <c r="H741" s="22"/>
      <c r="I741" s="22"/>
      <c r="J741" s="22"/>
      <c r="K741" s="22"/>
      <c r="L741" s="22"/>
      <c r="M741" s="22"/>
      <c r="N741" s="22"/>
      <c r="O741" s="22"/>
      <c r="P741" s="22"/>
      <c r="Q741" s="27"/>
      <c r="R741" s="22"/>
      <c r="S741" s="22"/>
      <c r="T741" s="22"/>
      <c r="U741" s="22"/>
      <c r="V741" s="22"/>
      <c r="W741" s="22"/>
      <c r="X741" s="22"/>
      <c r="Y741" s="22"/>
      <c r="Z741" s="22"/>
      <c r="AA741" s="22"/>
      <c r="AB741" s="22"/>
    </row>
    <row r="742" spans="1:28" x14ac:dyDescent="0.3">
      <c r="A742" s="22"/>
      <c r="B742" s="22"/>
      <c r="C742" s="22"/>
      <c r="D742" s="22"/>
      <c r="E742" s="22"/>
      <c r="F742" s="22"/>
      <c r="G742" s="22"/>
      <c r="H742" s="22"/>
      <c r="I742" s="22"/>
      <c r="J742" s="22"/>
      <c r="K742" s="22"/>
      <c r="L742" s="22"/>
      <c r="M742" s="22"/>
      <c r="N742" s="22"/>
      <c r="O742" s="22"/>
      <c r="P742" s="22"/>
      <c r="Q742" s="27"/>
      <c r="R742" s="22"/>
      <c r="S742" s="22"/>
      <c r="T742" s="22"/>
      <c r="U742" s="22"/>
      <c r="V742" s="22"/>
      <c r="W742" s="22"/>
      <c r="X742" s="22"/>
      <c r="Y742" s="22"/>
      <c r="Z742" s="22"/>
      <c r="AA742" s="22"/>
      <c r="AB742" s="22"/>
    </row>
    <row r="743" spans="1:28" x14ac:dyDescent="0.3">
      <c r="A743" s="22"/>
      <c r="B743" s="22"/>
      <c r="C743" s="22"/>
      <c r="D743" s="22"/>
      <c r="E743" s="22"/>
      <c r="F743" s="22"/>
      <c r="G743" s="22"/>
      <c r="H743" s="22"/>
      <c r="I743" s="22"/>
      <c r="J743" s="22"/>
      <c r="K743" s="22"/>
      <c r="L743" s="22"/>
      <c r="M743" s="22"/>
      <c r="N743" s="22"/>
      <c r="O743" s="22"/>
      <c r="P743" s="22"/>
      <c r="Q743" s="27"/>
      <c r="R743" s="22"/>
      <c r="S743" s="22"/>
      <c r="T743" s="22"/>
      <c r="U743" s="22"/>
      <c r="V743" s="22"/>
      <c r="W743" s="22"/>
      <c r="X743" s="22"/>
      <c r="Y743" s="22"/>
      <c r="Z743" s="22"/>
      <c r="AA743" s="22"/>
      <c r="AB743" s="22"/>
    </row>
    <row r="744" spans="1:28" x14ac:dyDescent="0.3">
      <c r="A744" s="22"/>
      <c r="B744" s="22"/>
      <c r="C744" s="22"/>
      <c r="D744" s="22"/>
      <c r="E744" s="22"/>
      <c r="F744" s="22"/>
      <c r="G744" s="22"/>
      <c r="H744" s="22"/>
      <c r="I744" s="22"/>
      <c r="J744" s="22"/>
      <c r="K744" s="22"/>
      <c r="L744" s="22"/>
      <c r="M744" s="22"/>
      <c r="N744" s="22"/>
      <c r="O744" s="22"/>
      <c r="P744" s="22"/>
      <c r="Q744" s="27"/>
      <c r="R744" s="22"/>
      <c r="S744" s="22"/>
      <c r="T744" s="22"/>
      <c r="U744" s="22"/>
      <c r="V744" s="22"/>
      <c r="W744" s="22"/>
      <c r="X744" s="22"/>
      <c r="Y744" s="22"/>
      <c r="Z744" s="22"/>
      <c r="AA744" s="22"/>
      <c r="AB744" s="22"/>
    </row>
    <row r="745" spans="1:28" x14ac:dyDescent="0.3">
      <c r="A745" s="22"/>
      <c r="B745" s="22"/>
      <c r="C745" s="22"/>
      <c r="D745" s="22"/>
      <c r="E745" s="22"/>
      <c r="F745" s="22"/>
      <c r="G745" s="22"/>
      <c r="H745" s="22"/>
      <c r="I745" s="22"/>
      <c r="J745" s="22"/>
      <c r="K745" s="22"/>
      <c r="L745" s="22"/>
      <c r="M745" s="22"/>
      <c r="N745" s="22"/>
      <c r="O745" s="22"/>
      <c r="P745" s="22"/>
      <c r="Q745" s="27"/>
      <c r="R745" s="22"/>
      <c r="S745" s="22"/>
      <c r="T745" s="22"/>
      <c r="U745" s="22"/>
      <c r="V745" s="22"/>
      <c r="W745" s="22"/>
      <c r="X745" s="22"/>
      <c r="Y745" s="22"/>
      <c r="Z745" s="22"/>
      <c r="AA745" s="22"/>
      <c r="AB745" s="22"/>
    </row>
    <row r="746" spans="1:28" x14ac:dyDescent="0.3">
      <c r="A746" s="22"/>
      <c r="B746" s="22"/>
      <c r="C746" s="22"/>
      <c r="D746" s="22"/>
      <c r="E746" s="22"/>
      <c r="F746" s="22"/>
      <c r="G746" s="22"/>
      <c r="H746" s="22"/>
      <c r="I746" s="22"/>
      <c r="J746" s="22"/>
      <c r="K746" s="22"/>
      <c r="L746" s="22"/>
      <c r="M746" s="22"/>
      <c r="N746" s="22"/>
      <c r="O746" s="22"/>
      <c r="P746" s="22"/>
      <c r="Q746" s="27"/>
      <c r="R746" s="22"/>
      <c r="S746" s="22"/>
      <c r="T746" s="22"/>
      <c r="U746" s="22"/>
      <c r="V746" s="22"/>
      <c r="W746" s="22"/>
      <c r="X746" s="22"/>
      <c r="Y746" s="22"/>
      <c r="Z746" s="22"/>
      <c r="AA746" s="22"/>
      <c r="AB746" s="22"/>
    </row>
    <row r="747" spans="1:28" x14ac:dyDescent="0.3">
      <c r="A747" s="22"/>
      <c r="B747" s="22"/>
      <c r="C747" s="22"/>
      <c r="D747" s="22"/>
      <c r="E747" s="22"/>
      <c r="F747" s="22"/>
      <c r="G747" s="22"/>
      <c r="H747" s="22"/>
      <c r="I747" s="22"/>
      <c r="J747" s="22"/>
      <c r="K747" s="22"/>
      <c r="L747" s="22"/>
      <c r="M747" s="22"/>
      <c r="N747" s="22"/>
      <c r="O747" s="22"/>
      <c r="P747" s="22"/>
      <c r="Q747" s="27"/>
      <c r="R747" s="22"/>
      <c r="S747" s="22"/>
      <c r="T747" s="22"/>
      <c r="U747" s="22"/>
      <c r="V747" s="22"/>
      <c r="W747" s="22"/>
      <c r="X747" s="22"/>
      <c r="Y747" s="22"/>
      <c r="Z747" s="22"/>
      <c r="AA747" s="22"/>
      <c r="AB747" s="22"/>
    </row>
    <row r="748" spans="1:28" x14ac:dyDescent="0.3">
      <c r="A748" s="22"/>
      <c r="B748" s="22"/>
      <c r="C748" s="22"/>
      <c r="D748" s="22"/>
      <c r="E748" s="22"/>
      <c r="F748" s="22"/>
      <c r="G748" s="22"/>
      <c r="H748" s="22"/>
      <c r="I748" s="22"/>
      <c r="J748" s="22"/>
      <c r="K748" s="22"/>
      <c r="L748" s="22"/>
      <c r="M748" s="22"/>
      <c r="N748" s="22"/>
      <c r="O748" s="22"/>
      <c r="P748" s="22"/>
      <c r="Q748" s="27"/>
      <c r="R748" s="22"/>
      <c r="S748" s="22"/>
      <c r="T748" s="22"/>
      <c r="U748" s="22"/>
      <c r="V748" s="22"/>
      <c r="W748" s="22"/>
      <c r="X748" s="22"/>
      <c r="Y748" s="22"/>
      <c r="Z748" s="22"/>
      <c r="AA748" s="22"/>
      <c r="AB748" s="22"/>
    </row>
    <row r="749" spans="1:28" x14ac:dyDescent="0.3">
      <c r="A749" s="22"/>
      <c r="B749" s="22"/>
      <c r="C749" s="22"/>
      <c r="D749" s="22"/>
      <c r="E749" s="22"/>
      <c r="F749" s="22"/>
      <c r="G749" s="22"/>
      <c r="H749" s="22"/>
      <c r="I749" s="22"/>
      <c r="J749" s="22"/>
      <c r="K749" s="22"/>
      <c r="L749" s="22"/>
      <c r="M749" s="22"/>
      <c r="N749" s="22"/>
      <c r="O749" s="22"/>
      <c r="P749" s="22"/>
      <c r="Q749" s="27"/>
      <c r="R749" s="22"/>
      <c r="S749" s="22"/>
      <c r="T749" s="22"/>
      <c r="U749" s="22"/>
      <c r="V749" s="22"/>
      <c r="W749" s="22"/>
      <c r="X749" s="22"/>
      <c r="Y749" s="22"/>
      <c r="Z749" s="22"/>
      <c r="AA749" s="22"/>
      <c r="AB749" s="22"/>
    </row>
    <row r="750" spans="1:28" x14ac:dyDescent="0.3">
      <c r="A750" s="22"/>
      <c r="B750" s="22"/>
      <c r="C750" s="22"/>
      <c r="D750" s="22"/>
      <c r="E750" s="22"/>
      <c r="F750" s="22"/>
      <c r="G750" s="22"/>
      <c r="H750" s="22"/>
      <c r="I750" s="22"/>
      <c r="J750" s="22"/>
      <c r="K750" s="22"/>
      <c r="L750" s="22"/>
      <c r="M750" s="22"/>
      <c r="N750" s="22"/>
      <c r="O750" s="22"/>
      <c r="P750" s="22"/>
      <c r="Q750" s="27"/>
      <c r="R750" s="22"/>
      <c r="S750" s="22"/>
      <c r="T750" s="22"/>
      <c r="U750" s="22"/>
      <c r="V750" s="22"/>
      <c r="W750" s="22"/>
      <c r="X750" s="22"/>
      <c r="Y750" s="22"/>
      <c r="Z750" s="22"/>
      <c r="AA750" s="22"/>
      <c r="AB750" s="22"/>
    </row>
    <row r="751" spans="1:28" x14ac:dyDescent="0.3">
      <c r="A751" s="22"/>
      <c r="B751" s="22"/>
      <c r="C751" s="22"/>
      <c r="D751" s="22"/>
      <c r="E751" s="22"/>
      <c r="F751" s="22"/>
      <c r="G751" s="22"/>
      <c r="H751" s="22"/>
      <c r="I751" s="22"/>
      <c r="J751" s="22"/>
      <c r="K751" s="22"/>
      <c r="L751" s="22"/>
      <c r="M751" s="22"/>
      <c r="N751" s="22"/>
      <c r="O751" s="22"/>
      <c r="P751" s="22"/>
      <c r="Q751" s="27"/>
      <c r="R751" s="22"/>
      <c r="S751" s="22"/>
      <c r="T751" s="22"/>
      <c r="U751" s="22"/>
      <c r="V751" s="22"/>
      <c r="W751" s="22"/>
      <c r="X751" s="22"/>
      <c r="Y751" s="22"/>
      <c r="Z751" s="22"/>
      <c r="AA751" s="22"/>
      <c r="AB751" s="22"/>
    </row>
    <row r="752" spans="1:28" x14ac:dyDescent="0.3">
      <c r="A752" s="22"/>
      <c r="B752" s="22"/>
      <c r="C752" s="22"/>
      <c r="D752" s="22"/>
      <c r="E752" s="22"/>
      <c r="F752" s="22"/>
      <c r="G752" s="22"/>
      <c r="H752" s="22"/>
      <c r="I752" s="22"/>
      <c r="J752" s="22"/>
      <c r="K752" s="22"/>
      <c r="L752" s="22"/>
      <c r="M752" s="22"/>
      <c r="N752" s="22"/>
      <c r="O752" s="22"/>
      <c r="P752" s="22"/>
      <c r="Q752" s="27"/>
      <c r="R752" s="22"/>
      <c r="S752" s="22"/>
      <c r="T752" s="22"/>
      <c r="U752" s="22"/>
      <c r="V752" s="22"/>
      <c r="W752" s="22"/>
      <c r="X752" s="22"/>
      <c r="Y752" s="22"/>
      <c r="Z752" s="22"/>
      <c r="AA752" s="22"/>
      <c r="AB752" s="22"/>
    </row>
    <row r="753" spans="1:28" x14ac:dyDescent="0.3">
      <c r="A753" s="22"/>
      <c r="B753" s="22"/>
      <c r="C753" s="22"/>
      <c r="D753" s="22"/>
      <c r="E753" s="22"/>
      <c r="F753" s="22"/>
      <c r="G753" s="22"/>
      <c r="H753" s="22"/>
      <c r="I753" s="22"/>
      <c r="J753" s="22"/>
      <c r="K753" s="22"/>
      <c r="L753" s="22"/>
      <c r="M753" s="22"/>
      <c r="N753" s="22"/>
      <c r="O753" s="22"/>
      <c r="P753" s="22"/>
      <c r="Q753" s="27"/>
      <c r="R753" s="22"/>
      <c r="S753" s="22"/>
      <c r="T753" s="22"/>
      <c r="U753" s="22"/>
      <c r="V753" s="22"/>
      <c r="W753" s="22"/>
      <c r="X753" s="22"/>
      <c r="Y753" s="22"/>
      <c r="Z753" s="22"/>
      <c r="AA753" s="22"/>
      <c r="AB753" s="22"/>
    </row>
    <row r="754" spans="1:28" x14ac:dyDescent="0.3">
      <c r="A754" s="22"/>
      <c r="B754" s="22"/>
      <c r="C754" s="22"/>
      <c r="D754" s="22"/>
      <c r="E754" s="22"/>
      <c r="F754" s="22"/>
      <c r="G754" s="22"/>
      <c r="H754" s="22"/>
      <c r="I754" s="22"/>
      <c r="J754" s="22"/>
      <c r="K754" s="22"/>
      <c r="L754" s="22"/>
      <c r="M754" s="22"/>
      <c r="N754" s="22"/>
      <c r="O754" s="22"/>
      <c r="P754" s="22"/>
      <c r="Q754" s="27"/>
      <c r="R754" s="22"/>
      <c r="S754" s="22"/>
      <c r="T754" s="22"/>
      <c r="U754" s="22"/>
      <c r="V754" s="22"/>
      <c r="W754" s="22"/>
      <c r="X754" s="22"/>
      <c r="Y754" s="22"/>
      <c r="Z754" s="22"/>
      <c r="AA754" s="22"/>
      <c r="AB754" s="22"/>
    </row>
    <row r="755" spans="1:28" x14ac:dyDescent="0.3">
      <c r="A755" s="22"/>
      <c r="B755" s="22"/>
      <c r="C755" s="22"/>
      <c r="D755" s="22"/>
      <c r="E755" s="22"/>
      <c r="F755" s="22"/>
      <c r="G755" s="22"/>
      <c r="H755" s="22"/>
      <c r="I755" s="22"/>
      <c r="J755" s="22"/>
      <c r="K755" s="22"/>
      <c r="L755" s="22"/>
      <c r="M755" s="22"/>
      <c r="N755" s="22"/>
      <c r="O755" s="22"/>
      <c r="P755" s="22"/>
      <c r="Q755" s="27"/>
      <c r="R755" s="22"/>
      <c r="S755" s="22"/>
      <c r="T755" s="22"/>
      <c r="U755" s="22"/>
      <c r="V755" s="22"/>
      <c r="W755" s="22"/>
      <c r="X755" s="22"/>
      <c r="Y755" s="22"/>
      <c r="Z755" s="22"/>
      <c r="AA755" s="22"/>
      <c r="AB755" s="22"/>
    </row>
    <row r="756" spans="1:28" x14ac:dyDescent="0.3">
      <c r="A756" s="22"/>
      <c r="B756" s="22"/>
      <c r="C756" s="22"/>
      <c r="D756" s="22"/>
      <c r="E756" s="22"/>
      <c r="F756" s="22"/>
      <c r="G756" s="22"/>
      <c r="H756" s="22"/>
      <c r="I756" s="22"/>
      <c r="J756" s="22"/>
      <c r="K756" s="22"/>
      <c r="L756" s="22"/>
      <c r="M756" s="22"/>
      <c r="N756" s="22"/>
      <c r="O756" s="22"/>
      <c r="P756" s="22"/>
      <c r="Q756" s="27"/>
      <c r="R756" s="22"/>
      <c r="S756" s="22"/>
      <c r="T756" s="22"/>
      <c r="U756" s="22"/>
      <c r="V756" s="22"/>
      <c r="W756" s="22"/>
      <c r="X756" s="22"/>
      <c r="Y756" s="22"/>
      <c r="Z756" s="22"/>
      <c r="AA756" s="22"/>
      <c r="AB756" s="22"/>
    </row>
    <row r="757" spans="1:28" x14ac:dyDescent="0.3">
      <c r="A757" s="22"/>
      <c r="B757" s="22"/>
      <c r="C757" s="22"/>
      <c r="D757" s="22"/>
      <c r="E757" s="22"/>
      <c r="F757" s="22"/>
      <c r="G757" s="22"/>
      <c r="H757" s="22"/>
      <c r="I757" s="22"/>
      <c r="J757" s="22"/>
      <c r="K757" s="22"/>
      <c r="L757" s="22"/>
      <c r="M757" s="22"/>
      <c r="N757" s="22"/>
      <c r="O757" s="22"/>
      <c r="P757" s="22"/>
      <c r="Q757" s="27"/>
      <c r="R757" s="22"/>
      <c r="S757" s="22"/>
      <c r="T757" s="22"/>
      <c r="U757" s="22"/>
      <c r="V757" s="22"/>
      <c r="W757" s="22"/>
      <c r="X757" s="22"/>
      <c r="Y757" s="22"/>
      <c r="Z757" s="22"/>
      <c r="AA757" s="22"/>
      <c r="AB757" s="22"/>
    </row>
    <row r="758" spans="1:28" x14ac:dyDescent="0.3">
      <c r="A758" s="22"/>
      <c r="B758" s="22"/>
      <c r="C758" s="22"/>
      <c r="D758" s="22"/>
      <c r="E758" s="22"/>
      <c r="F758" s="22"/>
      <c r="G758" s="22"/>
      <c r="H758" s="22"/>
      <c r="I758" s="22"/>
      <c r="J758" s="22"/>
      <c r="K758" s="22"/>
      <c r="L758" s="22"/>
      <c r="M758" s="22"/>
      <c r="N758" s="22"/>
      <c r="O758" s="22"/>
      <c r="P758" s="22"/>
      <c r="Q758" s="27"/>
      <c r="R758" s="22"/>
      <c r="S758" s="22"/>
      <c r="T758" s="22"/>
      <c r="U758" s="22"/>
      <c r="V758" s="22"/>
      <c r="W758" s="22"/>
      <c r="X758" s="22"/>
      <c r="Y758" s="22"/>
      <c r="Z758" s="22"/>
      <c r="AA758" s="22"/>
      <c r="AB758" s="22"/>
    </row>
    <row r="759" spans="1:28" x14ac:dyDescent="0.3">
      <c r="A759" s="22"/>
      <c r="B759" s="22"/>
      <c r="C759" s="22"/>
      <c r="D759" s="22"/>
      <c r="E759" s="22"/>
      <c r="F759" s="22"/>
      <c r="G759" s="22"/>
      <c r="H759" s="22"/>
      <c r="I759" s="22"/>
      <c r="J759" s="22"/>
      <c r="K759" s="22"/>
      <c r="L759" s="22"/>
      <c r="M759" s="22"/>
      <c r="N759" s="22"/>
      <c r="O759" s="22"/>
      <c r="P759" s="22"/>
      <c r="Q759" s="27"/>
      <c r="R759" s="22"/>
      <c r="S759" s="22"/>
      <c r="T759" s="22"/>
      <c r="U759" s="22"/>
      <c r="V759" s="22"/>
      <c r="W759" s="22"/>
      <c r="X759" s="22"/>
      <c r="Y759" s="22"/>
      <c r="Z759" s="22"/>
      <c r="AA759" s="22"/>
      <c r="AB759" s="22"/>
    </row>
    <row r="760" spans="1:28" x14ac:dyDescent="0.3">
      <c r="A760" s="22"/>
      <c r="B760" s="22"/>
      <c r="C760" s="22"/>
      <c r="D760" s="22"/>
      <c r="E760" s="22"/>
      <c r="F760" s="22"/>
      <c r="G760" s="22"/>
      <c r="H760" s="22"/>
      <c r="I760" s="22"/>
      <c r="J760" s="22"/>
      <c r="K760" s="22"/>
      <c r="L760" s="22"/>
      <c r="M760" s="22"/>
      <c r="N760" s="22"/>
      <c r="O760" s="22"/>
      <c r="P760" s="22"/>
      <c r="Q760" s="27"/>
      <c r="R760" s="22"/>
      <c r="S760" s="22"/>
      <c r="T760" s="22"/>
      <c r="U760" s="22"/>
      <c r="V760" s="22"/>
      <c r="W760" s="22"/>
      <c r="X760" s="22"/>
      <c r="Y760" s="22"/>
      <c r="Z760" s="22"/>
      <c r="AA760" s="22"/>
      <c r="AB760" s="22"/>
    </row>
    <row r="761" spans="1:28" x14ac:dyDescent="0.3">
      <c r="A761" s="22"/>
      <c r="B761" s="22"/>
      <c r="C761" s="22"/>
      <c r="D761" s="22"/>
      <c r="E761" s="22"/>
      <c r="F761" s="22"/>
      <c r="G761" s="22"/>
      <c r="H761" s="22"/>
      <c r="I761" s="22"/>
      <c r="J761" s="22"/>
      <c r="K761" s="22"/>
      <c r="L761" s="22"/>
      <c r="M761" s="22"/>
      <c r="N761" s="22"/>
      <c r="O761" s="22"/>
      <c r="P761" s="22"/>
      <c r="Q761" s="27"/>
      <c r="R761" s="22"/>
      <c r="S761" s="22"/>
      <c r="T761" s="22"/>
      <c r="U761" s="22"/>
      <c r="V761" s="22"/>
      <c r="W761" s="22"/>
      <c r="X761" s="22"/>
      <c r="Y761" s="22"/>
      <c r="Z761" s="22"/>
      <c r="AA761" s="22"/>
      <c r="AB761" s="22"/>
    </row>
    <row r="762" spans="1:28" x14ac:dyDescent="0.3">
      <c r="A762" s="22"/>
      <c r="B762" s="22"/>
      <c r="C762" s="22"/>
      <c r="D762" s="22"/>
      <c r="E762" s="22"/>
      <c r="F762" s="22"/>
      <c r="G762" s="22"/>
      <c r="H762" s="22"/>
      <c r="I762" s="22"/>
      <c r="J762" s="22"/>
      <c r="K762" s="22"/>
      <c r="L762" s="22"/>
      <c r="M762" s="22"/>
      <c r="N762" s="22"/>
      <c r="O762" s="22"/>
      <c r="P762" s="22"/>
      <c r="Q762" s="27"/>
      <c r="R762" s="22"/>
      <c r="S762" s="22"/>
      <c r="T762" s="22"/>
      <c r="U762" s="22"/>
      <c r="V762" s="22"/>
      <c r="W762" s="22"/>
      <c r="X762" s="22"/>
      <c r="Y762" s="22"/>
      <c r="Z762" s="22"/>
      <c r="AA762" s="22"/>
      <c r="AB762" s="22"/>
    </row>
    <row r="763" spans="1:28" x14ac:dyDescent="0.3">
      <c r="A763" s="22"/>
      <c r="B763" s="22"/>
      <c r="C763" s="22"/>
      <c r="D763" s="22"/>
      <c r="E763" s="22"/>
      <c r="F763" s="22"/>
      <c r="G763" s="22"/>
      <c r="H763" s="22"/>
      <c r="I763" s="22"/>
      <c r="J763" s="22"/>
      <c r="K763" s="22"/>
      <c r="L763" s="22"/>
      <c r="M763" s="22"/>
      <c r="N763" s="22"/>
      <c r="O763" s="22"/>
      <c r="P763" s="22"/>
      <c r="Q763" s="27"/>
      <c r="R763" s="22"/>
      <c r="S763" s="22"/>
      <c r="T763" s="22"/>
      <c r="U763" s="22"/>
      <c r="V763" s="22"/>
      <c r="W763" s="22"/>
      <c r="X763" s="22"/>
      <c r="Y763" s="22"/>
      <c r="Z763" s="22"/>
      <c r="AA763" s="22"/>
      <c r="AB763" s="22"/>
    </row>
    <row r="764" spans="1:28" x14ac:dyDescent="0.3">
      <c r="A764" s="22"/>
      <c r="B764" s="22"/>
      <c r="C764" s="22"/>
      <c r="D764" s="22"/>
      <c r="E764" s="22"/>
      <c r="F764" s="22"/>
      <c r="G764" s="22"/>
      <c r="H764" s="22"/>
      <c r="I764" s="22"/>
      <c r="J764" s="22"/>
      <c r="K764" s="22"/>
      <c r="L764" s="22"/>
      <c r="M764" s="22"/>
      <c r="N764" s="22"/>
      <c r="O764" s="22"/>
      <c r="P764" s="22"/>
      <c r="Q764" s="27"/>
      <c r="R764" s="22"/>
      <c r="S764" s="22"/>
      <c r="T764" s="22"/>
      <c r="U764" s="22"/>
      <c r="V764" s="22"/>
      <c r="W764" s="22"/>
      <c r="X764" s="22"/>
      <c r="Y764" s="22"/>
      <c r="Z764" s="22"/>
      <c r="AA764" s="22"/>
      <c r="AB764" s="22"/>
    </row>
    <row r="765" spans="1:28" x14ac:dyDescent="0.3">
      <c r="A765" s="22"/>
      <c r="B765" s="22"/>
      <c r="C765" s="22"/>
      <c r="D765" s="22"/>
      <c r="E765" s="22"/>
      <c r="F765" s="22"/>
      <c r="G765" s="22"/>
      <c r="H765" s="22"/>
      <c r="I765" s="22"/>
      <c r="J765" s="22"/>
      <c r="K765" s="22"/>
      <c r="L765" s="22"/>
      <c r="M765" s="22"/>
      <c r="N765" s="22"/>
      <c r="O765" s="22"/>
      <c r="P765" s="22"/>
      <c r="Q765" s="27"/>
      <c r="R765" s="22"/>
      <c r="S765" s="22"/>
      <c r="T765" s="22"/>
      <c r="U765" s="22"/>
      <c r="V765" s="22"/>
      <c r="W765" s="22"/>
      <c r="X765" s="22"/>
      <c r="Y765" s="22"/>
      <c r="Z765" s="22"/>
      <c r="AA765" s="22"/>
      <c r="AB765" s="22"/>
    </row>
    <row r="766" spans="1:28" x14ac:dyDescent="0.3">
      <c r="A766" s="22"/>
      <c r="B766" s="22"/>
      <c r="C766" s="22"/>
      <c r="D766" s="22"/>
      <c r="E766" s="22"/>
      <c r="F766" s="22"/>
      <c r="G766" s="22"/>
      <c r="H766" s="22"/>
      <c r="I766" s="22"/>
      <c r="J766" s="22"/>
      <c r="K766" s="22"/>
      <c r="L766" s="22"/>
      <c r="M766" s="22"/>
      <c r="N766" s="22"/>
      <c r="O766" s="22"/>
      <c r="P766" s="22"/>
      <c r="Q766" s="27"/>
      <c r="R766" s="22"/>
      <c r="S766" s="22"/>
      <c r="T766" s="22"/>
      <c r="U766" s="22"/>
      <c r="V766" s="22"/>
      <c r="W766" s="22"/>
      <c r="X766" s="22"/>
      <c r="Y766" s="22"/>
      <c r="Z766" s="22"/>
      <c r="AA766" s="22"/>
      <c r="AB766" s="22"/>
    </row>
    <row r="767" spans="1:28" x14ac:dyDescent="0.3">
      <c r="A767" s="22"/>
      <c r="B767" s="22"/>
      <c r="C767" s="22"/>
      <c r="D767" s="22"/>
      <c r="E767" s="22"/>
      <c r="F767" s="22"/>
      <c r="G767" s="22"/>
      <c r="H767" s="22"/>
      <c r="I767" s="22"/>
      <c r="J767" s="22"/>
      <c r="K767" s="22"/>
      <c r="L767" s="22"/>
      <c r="M767" s="22"/>
      <c r="N767" s="22"/>
      <c r="O767" s="22"/>
      <c r="P767" s="22"/>
      <c r="Q767" s="27"/>
      <c r="R767" s="22"/>
      <c r="S767" s="22"/>
      <c r="T767" s="22"/>
      <c r="U767" s="22"/>
      <c r="V767" s="22"/>
      <c r="W767" s="22"/>
      <c r="X767" s="22"/>
      <c r="Y767" s="22"/>
      <c r="Z767" s="22"/>
      <c r="AA767" s="22"/>
      <c r="AB767" s="22"/>
    </row>
    <row r="768" spans="1:28" x14ac:dyDescent="0.3">
      <c r="A768" s="22"/>
      <c r="B768" s="22"/>
      <c r="C768" s="22"/>
      <c r="D768" s="22"/>
      <c r="E768" s="22"/>
      <c r="F768" s="22"/>
      <c r="G768" s="22"/>
      <c r="H768" s="22"/>
      <c r="I768" s="22"/>
      <c r="J768" s="22"/>
      <c r="K768" s="22"/>
      <c r="L768" s="22"/>
      <c r="M768" s="22"/>
      <c r="N768" s="22"/>
      <c r="O768" s="22"/>
      <c r="P768" s="22"/>
      <c r="Q768" s="27"/>
      <c r="R768" s="22"/>
      <c r="S768" s="22"/>
      <c r="T768" s="22"/>
      <c r="U768" s="22"/>
      <c r="V768" s="22"/>
      <c r="W768" s="22"/>
      <c r="X768" s="22"/>
      <c r="Y768" s="22"/>
      <c r="Z768" s="22"/>
      <c r="AA768" s="22"/>
      <c r="AB768" s="22"/>
    </row>
    <row r="769" spans="1:28" x14ac:dyDescent="0.3">
      <c r="A769" s="22"/>
      <c r="B769" s="22"/>
      <c r="C769" s="22"/>
      <c r="D769" s="22"/>
      <c r="E769" s="22"/>
      <c r="F769" s="22"/>
      <c r="G769" s="22"/>
      <c r="H769" s="22"/>
      <c r="I769" s="22"/>
      <c r="J769" s="22"/>
      <c r="K769" s="22"/>
      <c r="L769" s="22"/>
      <c r="M769" s="22"/>
      <c r="N769" s="22"/>
      <c r="O769" s="22"/>
      <c r="P769" s="22"/>
      <c r="Q769" s="27"/>
      <c r="R769" s="22"/>
      <c r="S769" s="22"/>
      <c r="T769" s="22"/>
      <c r="U769" s="22"/>
      <c r="V769" s="22"/>
      <c r="W769" s="22"/>
      <c r="X769" s="22"/>
      <c r="Y769" s="22"/>
      <c r="Z769" s="22"/>
      <c r="AA769" s="22"/>
      <c r="AB769" s="22"/>
    </row>
    <row r="770" spans="1:28" x14ac:dyDescent="0.3">
      <c r="A770" s="22"/>
      <c r="B770" s="22"/>
      <c r="C770" s="22"/>
      <c r="D770" s="22"/>
      <c r="E770" s="22"/>
      <c r="F770" s="22"/>
      <c r="G770" s="22"/>
      <c r="H770" s="22"/>
      <c r="I770" s="22"/>
      <c r="J770" s="22"/>
      <c r="K770" s="22"/>
      <c r="L770" s="22"/>
      <c r="M770" s="22"/>
      <c r="N770" s="22"/>
      <c r="O770" s="22"/>
      <c r="P770" s="22"/>
      <c r="Q770" s="27"/>
      <c r="R770" s="22"/>
      <c r="S770" s="22"/>
      <c r="T770" s="22"/>
      <c r="U770" s="22"/>
      <c r="V770" s="22"/>
      <c r="W770" s="22"/>
      <c r="X770" s="22"/>
      <c r="Y770" s="22"/>
      <c r="Z770" s="22"/>
      <c r="AA770" s="22"/>
      <c r="AB770" s="22"/>
    </row>
    <row r="771" spans="1:28" x14ac:dyDescent="0.3">
      <c r="A771" s="22"/>
      <c r="B771" s="22"/>
      <c r="C771" s="22"/>
      <c r="D771" s="22"/>
      <c r="E771" s="22"/>
      <c r="F771" s="22"/>
      <c r="G771" s="22"/>
      <c r="H771" s="22"/>
      <c r="I771" s="22"/>
      <c r="J771" s="22"/>
      <c r="K771" s="22"/>
      <c r="L771" s="22"/>
      <c r="M771" s="22"/>
      <c r="N771" s="22"/>
      <c r="O771" s="22"/>
      <c r="P771" s="22"/>
      <c r="Q771" s="27"/>
      <c r="R771" s="22"/>
      <c r="S771" s="22"/>
      <c r="T771" s="22"/>
      <c r="U771" s="22"/>
      <c r="V771" s="22"/>
      <c r="W771" s="22"/>
      <c r="X771" s="22"/>
      <c r="Y771" s="22"/>
      <c r="Z771" s="22"/>
      <c r="AA771" s="22"/>
      <c r="AB771" s="22"/>
    </row>
    <row r="772" spans="1:28" x14ac:dyDescent="0.3">
      <c r="A772" s="22"/>
      <c r="B772" s="22"/>
      <c r="C772" s="22"/>
      <c r="D772" s="22"/>
      <c r="E772" s="22"/>
      <c r="F772" s="22"/>
      <c r="G772" s="22"/>
      <c r="H772" s="22"/>
      <c r="I772" s="22"/>
      <c r="J772" s="22"/>
      <c r="K772" s="22"/>
      <c r="L772" s="22"/>
      <c r="M772" s="22"/>
      <c r="N772" s="22"/>
      <c r="O772" s="22"/>
      <c r="P772" s="22"/>
      <c r="Q772" s="27"/>
      <c r="R772" s="22"/>
      <c r="S772" s="22"/>
      <c r="T772" s="22"/>
      <c r="U772" s="22"/>
      <c r="V772" s="22"/>
      <c r="W772" s="22"/>
      <c r="X772" s="22"/>
      <c r="Y772" s="22"/>
      <c r="Z772" s="22"/>
      <c r="AA772" s="22"/>
      <c r="AB772" s="22"/>
    </row>
    <row r="773" spans="1:28" x14ac:dyDescent="0.3">
      <c r="A773" s="22"/>
      <c r="B773" s="22"/>
      <c r="C773" s="22"/>
      <c r="D773" s="22"/>
      <c r="E773" s="22"/>
      <c r="F773" s="22"/>
      <c r="G773" s="22"/>
      <c r="H773" s="22"/>
      <c r="I773" s="22"/>
      <c r="J773" s="22"/>
      <c r="K773" s="22"/>
      <c r="L773" s="22"/>
      <c r="M773" s="22"/>
      <c r="N773" s="22"/>
      <c r="O773" s="22"/>
      <c r="P773" s="22"/>
      <c r="Q773" s="27"/>
      <c r="R773" s="22"/>
      <c r="S773" s="22"/>
      <c r="T773" s="22"/>
      <c r="U773" s="22"/>
      <c r="V773" s="22"/>
      <c r="W773" s="22"/>
      <c r="X773" s="22"/>
      <c r="Y773" s="22"/>
      <c r="Z773" s="22"/>
      <c r="AA773" s="22"/>
      <c r="AB773" s="22"/>
    </row>
    <row r="774" spans="1:28" x14ac:dyDescent="0.3">
      <c r="A774" s="22"/>
      <c r="B774" s="22"/>
      <c r="C774" s="22"/>
      <c r="D774" s="22"/>
      <c r="E774" s="22"/>
      <c r="F774" s="22"/>
      <c r="G774" s="22"/>
      <c r="H774" s="22"/>
      <c r="I774" s="22"/>
      <c r="J774" s="22"/>
      <c r="K774" s="22"/>
      <c r="L774" s="22"/>
      <c r="M774" s="22"/>
      <c r="N774" s="22"/>
      <c r="O774" s="22"/>
      <c r="P774" s="22"/>
      <c r="Q774" s="27"/>
      <c r="R774" s="22"/>
      <c r="S774" s="22"/>
      <c r="T774" s="22"/>
      <c r="U774" s="22"/>
      <c r="V774" s="22"/>
      <c r="W774" s="22"/>
      <c r="X774" s="22"/>
      <c r="Y774" s="22"/>
      <c r="Z774" s="22"/>
      <c r="AA774" s="22"/>
      <c r="AB774" s="22"/>
    </row>
    <row r="775" spans="1:28" x14ac:dyDescent="0.3">
      <c r="A775" s="22"/>
      <c r="B775" s="22"/>
      <c r="C775" s="22"/>
      <c r="D775" s="22"/>
      <c r="E775" s="22"/>
      <c r="F775" s="22"/>
      <c r="G775" s="22"/>
      <c r="H775" s="22"/>
      <c r="I775" s="22"/>
      <c r="J775" s="22"/>
      <c r="K775" s="22"/>
      <c r="L775" s="22"/>
      <c r="M775" s="22"/>
      <c r="N775" s="22"/>
      <c r="O775" s="22"/>
      <c r="P775" s="22"/>
      <c r="Q775" s="27"/>
      <c r="R775" s="22"/>
      <c r="S775" s="22"/>
      <c r="T775" s="22"/>
      <c r="U775" s="22"/>
      <c r="V775" s="22"/>
      <c r="W775" s="22"/>
      <c r="X775" s="22"/>
      <c r="Y775" s="22"/>
      <c r="Z775" s="22"/>
      <c r="AA775" s="22"/>
      <c r="AB775" s="22"/>
    </row>
    <row r="776" spans="1:28" x14ac:dyDescent="0.3">
      <c r="A776" s="22"/>
      <c r="B776" s="22"/>
      <c r="C776" s="22"/>
      <c r="D776" s="22"/>
      <c r="E776" s="22"/>
      <c r="F776" s="22"/>
      <c r="G776" s="22"/>
      <c r="H776" s="22"/>
      <c r="I776" s="22"/>
      <c r="J776" s="22"/>
      <c r="K776" s="22"/>
      <c r="L776" s="22"/>
      <c r="M776" s="22"/>
      <c r="N776" s="22"/>
      <c r="O776" s="22"/>
      <c r="P776" s="22"/>
      <c r="Q776" s="27"/>
      <c r="R776" s="22"/>
      <c r="S776" s="22"/>
      <c r="T776" s="22"/>
      <c r="U776" s="22"/>
      <c r="V776" s="22"/>
      <c r="W776" s="22"/>
      <c r="X776" s="22"/>
      <c r="Y776" s="22"/>
      <c r="Z776" s="22"/>
      <c r="AA776" s="22"/>
      <c r="AB776" s="22"/>
    </row>
    <row r="777" spans="1:28" x14ac:dyDescent="0.3">
      <c r="A777" s="22"/>
      <c r="B777" s="22"/>
      <c r="C777" s="22"/>
      <c r="D777" s="22"/>
      <c r="E777" s="22"/>
      <c r="F777" s="22"/>
      <c r="G777" s="22"/>
      <c r="H777" s="22"/>
      <c r="I777" s="22"/>
      <c r="J777" s="22"/>
      <c r="K777" s="22"/>
      <c r="L777" s="22"/>
      <c r="M777" s="22"/>
      <c r="N777" s="22"/>
      <c r="O777" s="22"/>
      <c r="P777" s="22"/>
      <c r="Q777" s="27"/>
      <c r="R777" s="22"/>
      <c r="S777" s="22"/>
      <c r="T777" s="22"/>
      <c r="U777" s="22"/>
      <c r="V777" s="22"/>
      <c r="W777" s="22"/>
      <c r="X777" s="22"/>
      <c r="Y777" s="22"/>
      <c r="Z777" s="22"/>
      <c r="AA777" s="22"/>
      <c r="AB777" s="22"/>
    </row>
    <row r="778" spans="1:28" x14ac:dyDescent="0.3">
      <c r="A778" s="22"/>
      <c r="B778" s="22"/>
      <c r="C778" s="22"/>
      <c r="D778" s="22"/>
      <c r="E778" s="22"/>
      <c r="F778" s="22"/>
      <c r="G778" s="22"/>
      <c r="H778" s="22"/>
      <c r="I778" s="22"/>
      <c r="J778" s="22"/>
      <c r="K778" s="22"/>
      <c r="L778" s="22"/>
      <c r="M778" s="22"/>
      <c r="N778" s="22"/>
      <c r="O778" s="22"/>
      <c r="P778" s="22"/>
      <c r="Q778" s="27"/>
      <c r="R778" s="22"/>
      <c r="S778" s="22"/>
      <c r="T778" s="22"/>
      <c r="U778" s="22"/>
      <c r="V778" s="22"/>
      <c r="W778" s="22"/>
      <c r="X778" s="22"/>
      <c r="Y778" s="22"/>
      <c r="Z778" s="22"/>
      <c r="AA778" s="22"/>
      <c r="AB778" s="22"/>
    </row>
    <row r="779" spans="1:28" x14ac:dyDescent="0.3">
      <c r="A779" s="22"/>
      <c r="B779" s="22"/>
      <c r="C779" s="22"/>
      <c r="D779" s="22"/>
      <c r="E779" s="22"/>
      <c r="F779" s="22"/>
      <c r="G779" s="22"/>
      <c r="H779" s="22"/>
      <c r="I779" s="22"/>
      <c r="J779" s="22"/>
      <c r="K779" s="22"/>
      <c r="L779" s="22"/>
      <c r="M779" s="22"/>
      <c r="N779" s="22"/>
      <c r="O779" s="22"/>
      <c r="P779" s="22"/>
      <c r="Q779" s="27"/>
      <c r="R779" s="22"/>
      <c r="S779" s="22"/>
      <c r="T779" s="22"/>
      <c r="U779" s="22"/>
      <c r="V779" s="22"/>
      <c r="W779" s="22"/>
      <c r="X779" s="22"/>
      <c r="Y779" s="22"/>
      <c r="Z779" s="22"/>
      <c r="AA779" s="22"/>
      <c r="AB779" s="22"/>
    </row>
    <row r="780" spans="1:28" x14ac:dyDescent="0.3">
      <c r="A780" s="22"/>
      <c r="B780" s="22"/>
      <c r="C780" s="22"/>
      <c r="D780" s="22"/>
      <c r="E780" s="22"/>
      <c r="F780" s="22"/>
      <c r="G780" s="22"/>
      <c r="H780" s="22"/>
      <c r="I780" s="22"/>
      <c r="J780" s="22"/>
      <c r="K780" s="22"/>
      <c r="L780" s="22"/>
      <c r="M780" s="22"/>
      <c r="N780" s="22"/>
      <c r="O780" s="22"/>
      <c r="P780" s="22"/>
      <c r="Q780" s="27"/>
      <c r="R780" s="22"/>
      <c r="S780" s="22"/>
      <c r="T780" s="22"/>
      <c r="U780" s="22"/>
      <c r="V780" s="22"/>
      <c r="W780" s="22"/>
      <c r="X780" s="22"/>
      <c r="Y780" s="22"/>
      <c r="Z780" s="22"/>
      <c r="AA780" s="22"/>
      <c r="AB780" s="22"/>
    </row>
    <row r="781" spans="1:28" x14ac:dyDescent="0.3">
      <c r="A781" s="22"/>
      <c r="B781" s="22"/>
      <c r="C781" s="22"/>
      <c r="D781" s="22"/>
      <c r="E781" s="22"/>
      <c r="F781" s="22"/>
      <c r="G781" s="22"/>
      <c r="H781" s="22"/>
      <c r="I781" s="22"/>
      <c r="J781" s="22"/>
      <c r="K781" s="22"/>
      <c r="L781" s="22"/>
      <c r="M781" s="22"/>
      <c r="N781" s="22"/>
      <c r="O781" s="22"/>
      <c r="P781" s="22"/>
      <c r="Q781" s="27"/>
      <c r="R781" s="22"/>
      <c r="S781" s="22"/>
      <c r="T781" s="22"/>
      <c r="U781" s="22"/>
      <c r="V781" s="22"/>
      <c r="W781" s="22"/>
      <c r="X781" s="22"/>
      <c r="Y781" s="22"/>
      <c r="Z781" s="22"/>
      <c r="AA781" s="22"/>
      <c r="AB781" s="22"/>
    </row>
    <row r="782" spans="1:28" x14ac:dyDescent="0.3">
      <c r="A782" s="22"/>
      <c r="B782" s="22"/>
      <c r="C782" s="22"/>
      <c r="D782" s="22"/>
      <c r="E782" s="22"/>
      <c r="F782" s="22"/>
      <c r="G782" s="22"/>
      <c r="H782" s="22"/>
      <c r="I782" s="22"/>
      <c r="J782" s="22"/>
      <c r="K782" s="22"/>
      <c r="L782" s="22"/>
      <c r="M782" s="22"/>
      <c r="N782" s="22"/>
      <c r="O782" s="22"/>
      <c r="P782" s="22"/>
      <c r="Q782" s="27"/>
      <c r="R782" s="22"/>
      <c r="S782" s="22"/>
      <c r="T782" s="22"/>
      <c r="U782" s="22"/>
      <c r="V782" s="22"/>
      <c r="W782" s="22"/>
      <c r="X782" s="22"/>
      <c r="Y782" s="22"/>
      <c r="Z782" s="22"/>
      <c r="AA782" s="22"/>
      <c r="AB782" s="22"/>
    </row>
    <row r="783" spans="1:28" x14ac:dyDescent="0.3">
      <c r="A783" s="22"/>
      <c r="B783" s="22"/>
      <c r="C783" s="22"/>
      <c r="D783" s="22"/>
      <c r="E783" s="22"/>
      <c r="F783" s="22"/>
      <c r="G783" s="22"/>
      <c r="H783" s="22"/>
      <c r="I783" s="22"/>
      <c r="J783" s="22"/>
      <c r="K783" s="22"/>
      <c r="L783" s="22"/>
      <c r="M783" s="22"/>
      <c r="N783" s="22"/>
      <c r="O783" s="22"/>
      <c r="P783" s="22"/>
      <c r="Q783" s="27"/>
      <c r="R783" s="22"/>
      <c r="S783" s="22"/>
      <c r="T783" s="22"/>
      <c r="U783" s="22"/>
      <c r="V783" s="22"/>
      <c r="W783" s="22"/>
      <c r="X783" s="22"/>
      <c r="Y783" s="22"/>
      <c r="Z783" s="22"/>
      <c r="AA783" s="22"/>
      <c r="AB783" s="22"/>
    </row>
    <row r="784" spans="1:28" x14ac:dyDescent="0.3">
      <c r="A784" s="22"/>
      <c r="B784" s="22"/>
      <c r="C784" s="22"/>
      <c r="D784" s="22"/>
      <c r="E784" s="22"/>
      <c r="F784" s="22"/>
      <c r="G784" s="22"/>
      <c r="H784" s="22"/>
      <c r="I784" s="22"/>
      <c r="J784" s="22"/>
      <c r="K784" s="22"/>
      <c r="L784" s="22"/>
      <c r="M784" s="22"/>
      <c r="N784" s="22"/>
      <c r="O784" s="22"/>
      <c r="P784" s="22"/>
      <c r="Q784" s="27"/>
      <c r="R784" s="22"/>
      <c r="S784" s="22"/>
      <c r="T784" s="22"/>
      <c r="U784" s="22"/>
      <c r="V784" s="22"/>
      <c r="W784" s="22"/>
      <c r="X784" s="22"/>
      <c r="Y784" s="22"/>
      <c r="Z784" s="22"/>
      <c r="AA784" s="22"/>
      <c r="AB784" s="22"/>
    </row>
    <row r="785" spans="1:28" x14ac:dyDescent="0.3">
      <c r="A785" s="22"/>
      <c r="B785" s="22"/>
      <c r="C785" s="22"/>
      <c r="D785" s="22"/>
      <c r="E785" s="22"/>
      <c r="F785" s="22"/>
      <c r="G785" s="22"/>
      <c r="H785" s="22"/>
      <c r="I785" s="22"/>
      <c r="J785" s="22"/>
      <c r="K785" s="22"/>
      <c r="L785" s="22"/>
      <c r="M785" s="22"/>
      <c r="N785" s="22"/>
      <c r="O785" s="22"/>
      <c r="P785" s="22"/>
      <c r="Q785" s="27"/>
      <c r="R785" s="22"/>
      <c r="S785" s="22"/>
      <c r="T785" s="22"/>
      <c r="U785" s="22"/>
      <c r="V785" s="22"/>
      <c r="W785" s="22"/>
      <c r="X785" s="22"/>
      <c r="Y785" s="22"/>
      <c r="Z785" s="22"/>
      <c r="AA785" s="22"/>
      <c r="AB785" s="22"/>
    </row>
    <row r="786" spans="1:28" x14ac:dyDescent="0.3">
      <c r="A786" s="22"/>
      <c r="B786" s="22"/>
      <c r="C786" s="22"/>
      <c r="D786" s="22"/>
      <c r="E786" s="22"/>
      <c r="F786" s="22"/>
      <c r="G786" s="22"/>
      <c r="H786" s="22"/>
      <c r="I786" s="22"/>
      <c r="J786" s="22"/>
      <c r="K786" s="22"/>
      <c r="L786" s="22"/>
      <c r="M786" s="22"/>
      <c r="N786" s="22"/>
      <c r="O786" s="22"/>
      <c r="P786" s="22"/>
      <c r="Q786" s="27"/>
      <c r="R786" s="22"/>
      <c r="S786" s="22"/>
      <c r="T786" s="22"/>
      <c r="U786" s="22"/>
      <c r="V786" s="22"/>
      <c r="W786" s="22"/>
      <c r="X786" s="22"/>
      <c r="Y786" s="22"/>
      <c r="Z786" s="22"/>
      <c r="AA786" s="22"/>
      <c r="AB786" s="22"/>
    </row>
    <row r="787" spans="1:28" x14ac:dyDescent="0.3">
      <c r="A787" s="22"/>
      <c r="B787" s="22"/>
      <c r="C787" s="22"/>
      <c r="D787" s="22"/>
      <c r="E787" s="22"/>
      <c r="F787" s="22"/>
      <c r="G787" s="22"/>
      <c r="H787" s="22"/>
      <c r="I787" s="22"/>
      <c r="J787" s="22"/>
      <c r="K787" s="22"/>
      <c r="L787" s="22"/>
      <c r="M787" s="22"/>
      <c r="N787" s="22"/>
      <c r="O787" s="22"/>
      <c r="P787" s="22"/>
      <c r="Q787" s="27"/>
      <c r="R787" s="22"/>
      <c r="S787" s="22"/>
      <c r="T787" s="22"/>
      <c r="U787" s="22"/>
      <c r="V787" s="22"/>
      <c r="W787" s="22"/>
      <c r="X787" s="22"/>
      <c r="Y787" s="22"/>
      <c r="Z787" s="22"/>
      <c r="AA787" s="22"/>
      <c r="AB787" s="22"/>
    </row>
    <row r="788" spans="1:28" x14ac:dyDescent="0.3">
      <c r="A788" s="22"/>
      <c r="B788" s="22"/>
      <c r="C788" s="22"/>
      <c r="D788" s="22"/>
      <c r="E788" s="22"/>
      <c r="F788" s="22"/>
      <c r="G788" s="22"/>
      <c r="H788" s="22"/>
      <c r="I788" s="22"/>
      <c r="J788" s="22"/>
      <c r="K788" s="22"/>
      <c r="L788" s="22"/>
      <c r="M788" s="22"/>
      <c r="N788" s="22"/>
      <c r="O788" s="22"/>
      <c r="P788" s="22"/>
      <c r="Q788" s="27"/>
      <c r="R788" s="22"/>
      <c r="S788" s="22"/>
      <c r="T788" s="22"/>
      <c r="U788" s="22"/>
      <c r="V788" s="22"/>
      <c r="W788" s="22"/>
      <c r="X788" s="22"/>
      <c r="Y788" s="22"/>
      <c r="Z788" s="22"/>
      <c r="AA788" s="22"/>
      <c r="AB788" s="22"/>
    </row>
    <row r="789" spans="1:28" x14ac:dyDescent="0.3">
      <c r="A789" s="22"/>
      <c r="B789" s="22"/>
      <c r="C789" s="22"/>
      <c r="D789" s="22"/>
      <c r="E789" s="22"/>
      <c r="F789" s="22"/>
      <c r="G789" s="22"/>
      <c r="H789" s="22"/>
      <c r="I789" s="22"/>
      <c r="J789" s="22"/>
      <c r="K789" s="22"/>
      <c r="L789" s="22"/>
      <c r="M789" s="22"/>
      <c r="N789" s="22"/>
      <c r="O789" s="22"/>
      <c r="P789" s="22"/>
      <c r="Q789" s="27"/>
      <c r="R789" s="22"/>
      <c r="S789" s="22"/>
      <c r="T789" s="22"/>
      <c r="U789" s="22"/>
      <c r="V789" s="22"/>
      <c r="W789" s="22"/>
      <c r="X789" s="22"/>
      <c r="Y789" s="22"/>
      <c r="Z789" s="22"/>
      <c r="AA789" s="22"/>
      <c r="AB789" s="22"/>
    </row>
    <row r="790" spans="1:28" x14ac:dyDescent="0.3">
      <c r="A790" s="22"/>
      <c r="B790" s="22"/>
      <c r="C790" s="22"/>
      <c r="D790" s="22"/>
      <c r="E790" s="22"/>
      <c r="F790" s="22"/>
      <c r="G790" s="22"/>
      <c r="H790" s="22"/>
      <c r="I790" s="22"/>
      <c r="J790" s="22"/>
      <c r="K790" s="22"/>
      <c r="L790" s="22"/>
      <c r="M790" s="22"/>
      <c r="N790" s="22"/>
      <c r="O790" s="22"/>
      <c r="P790" s="22"/>
      <c r="Q790" s="27"/>
      <c r="R790" s="22"/>
      <c r="S790" s="22"/>
      <c r="T790" s="22"/>
      <c r="U790" s="22"/>
      <c r="V790" s="22"/>
      <c r="W790" s="22"/>
      <c r="X790" s="22"/>
      <c r="Y790" s="22"/>
      <c r="Z790" s="22"/>
      <c r="AA790" s="22"/>
      <c r="AB790" s="22"/>
    </row>
    <row r="791" spans="1:28" x14ac:dyDescent="0.3">
      <c r="A791" s="22"/>
      <c r="B791" s="22"/>
      <c r="C791" s="22"/>
      <c r="D791" s="22"/>
      <c r="E791" s="22"/>
      <c r="F791" s="22"/>
      <c r="G791" s="22"/>
      <c r="H791" s="22"/>
      <c r="I791" s="22"/>
      <c r="J791" s="22"/>
      <c r="K791" s="22"/>
      <c r="L791" s="22"/>
      <c r="M791" s="22"/>
      <c r="N791" s="22"/>
      <c r="O791" s="22"/>
      <c r="P791" s="22"/>
      <c r="Q791" s="27"/>
      <c r="R791" s="22"/>
      <c r="S791" s="22"/>
      <c r="T791" s="22"/>
      <c r="U791" s="22"/>
      <c r="V791" s="22"/>
      <c r="W791" s="22"/>
      <c r="X791" s="22"/>
      <c r="Y791" s="22"/>
      <c r="Z791" s="22"/>
      <c r="AA791" s="22"/>
      <c r="AB791" s="22"/>
    </row>
    <row r="792" spans="1:28" x14ac:dyDescent="0.3">
      <c r="A792" s="22"/>
      <c r="B792" s="22"/>
      <c r="C792" s="22"/>
      <c r="D792" s="22"/>
      <c r="E792" s="22"/>
      <c r="F792" s="22"/>
      <c r="G792" s="22"/>
      <c r="H792" s="22"/>
      <c r="I792" s="22"/>
      <c r="J792" s="22"/>
      <c r="K792" s="22"/>
      <c r="L792" s="22"/>
      <c r="M792" s="22"/>
      <c r="N792" s="22"/>
      <c r="O792" s="22"/>
      <c r="P792" s="22"/>
      <c r="Q792" s="27"/>
      <c r="R792" s="22"/>
      <c r="S792" s="22"/>
      <c r="T792" s="22"/>
      <c r="U792" s="22"/>
      <c r="V792" s="22"/>
      <c r="W792" s="22"/>
      <c r="X792" s="22"/>
      <c r="Y792" s="22"/>
      <c r="Z792" s="22"/>
      <c r="AA792" s="22"/>
      <c r="AB792" s="22"/>
    </row>
    <row r="793" spans="1:28" x14ac:dyDescent="0.3">
      <c r="A793" s="22"/>
      <c r="B793" s="22"/>
      <c r="C793" s="22"/>
      <c r="D793" s="22"/>
      <c r="E793" s="22"/>
      <c r="F793" s="22"/>
      <c r="G793" s="22"/>
      <c r="H793" s="22"/>
      <c r="I793" s="22"/>
      <c r="J793" s="22"/>
      <c r="K793" s="22"/>
      <c r="L793" s="22"/>
      <c r="M793" s="22"/>
      <c r="N793" s="22"/>
      <c r="O793" s="22"/>
      <c r="P793" s="22"/>
      <c r="Q793" s="27"/>
      <c r="R793" s="22"/>
      <c r="S793" s="22"/>
      <c r="T793" s="22"/>
      <c r="U793" s="22"/>
      <c r="V793" s="22"/>
      <c r="W793" s="22"/>
      <c r="X793" s="22"/>
      <c r="Y793" s="22"/>
      <c r="Z793" s="22"/>
      <c r="AA793" s="22"/>
      <c r="AB793" s="22"/>
    </row>
    <row r="794" spans="1:28" x14ac:dyDescent="0.3">
      <c r="A794" s="22"/>
      <c r="B794" s="22"/>
      <c r="C794" s="22"/>
      <c r="D794" s="22"/>
      <c r="E794" s="22"/>
      <c r="F794" s="22"/>
      <c r="G794" s="22"/>
      <c r="H794" s="22"/>
      <c r="I794" s="22"/>
      <c r="J794" s="22"/>
      <c r="K794" s="22"/>
      <c r="L794" s="22"/>
      <c r="M794" s="22"/>
      <c r="N794" s="22"/>
      <c r="O794" s="22"/>
      <c r="P794" s="22"/>
      <c r="Q794" s="27"/>
      <c r="R794" s="22"/>
      <c r="S794" s="22"/>
      <c r="T794" s="22"/>
      <c r="U794" s="22"/>
      <c r="V794" s="22"/>
      <c r="W794" s="22"/>
      <c r="X794" s="22"/>
      <c r="Y794" s="22"/>
      <c r="Z794" s="22"/>
      <c r="AA794" s="22"/>
      <c r="AB794" s="22"/>
    </row>
    <row r="795" spans="1:28" x14ac:dyDescent="0.3">
      <c r="A795" s="22"/>
      <c r="B795" s="22"/>
      <c r="C795" s="22"/>
      <c r="D795" s="22"/>
      <c r="E795" s="22"/>
      <c r="F795" s="22"/>
      <c r="G795" s="22"/>
      <c r="H795" s="22"/>
      <c r="I795" s="22"/>
      <c r="J795" s="22"/>
      <c r="K795" s="22"/>
      <c r="L795" s="22"/>
      <c r="M795" s="22"/>
      <c r="N795" s="22"/>
      <c r="O795" s="22"/>
      <c r="P795" s="22"/>
      <c r="Q795" s="27"/>
      <c r="R795" s="22"/>
      <c r="S795" s="22"/>
      <c r="T795" s="22"/>
      <c r="U795" s="22"/>
      <c r="V795" s="22"/>
      <c r="W795" s="22"/>
      <c r="X795" s="22"/>
      <c r="Y795" s="22"/>
      <c r="Z795" s="22"/>
      <c r="AA795" s="22"/>
      <c r="AB795" s="22"/>
    </row>
    <row r="796" spans="1:28" x14ac:dyDescent="0.3">
      <c r="A796" s="22"/>
      <c r="B796" s="22"/>
      <c r="C796" s="22"/>
      <c r="D796" s="22"/>
      <c r="E796" s="22"/>
      <c r="F796" s="22"/>
      <c r="G796" s="22"/>
      <c r="H796" s="22"/>
      <c r="I796" s="22"/>
      <c r="J796" s="22"/>
      <c r="K796" s="22"/>
      <c r="L796" s="22"/>
      <c r="M796" s="22"/>
      <c r="N796" s="22"/>
      <c r="O796" s="22"/>
      <c r="P796" s="22"/>
      <c r="Q796" s="27"/>
      <c r="R796" s="22"/>
      <c r="S796" s="22"/>
      <c r="T796" s="22"/>
      <c r="U796" s="22"/>
      <c r="V796" s="22"/>
      <c r="W796" s="22"/>
      <c r="X796" s="22"/>
      <c r="Y796" s="22"/>
      <c r="Z796" s="22"/>
      <c r="AA796" s="22"/>
      <c r="AB796" s="22"/>
    </row>
    <row r="797" spans="1:28" x14ac:dyDescent="0.3">
      <c r="A797" s="22"/>
      <c r="B797" s="22"/>
      <c r="C797" s="22"/>
      <c r="D797" s="22"/>
      <c r="E797" s="22"/>
      <c r="F797" s="22"/>
      <c r="G797" s="22"/>
      <c r="H797" s="22"/>
      <c r="I797" s="22"/>
      <c r="J797" s="22"/>
      <c r="K797" s="22"/>
      <c r="L797" s="22"/>
      <c r="M797" s="22"/>
      <c r="N797" s="22"/>
      <c r="O797" s="22"/>
      <c r="P797" s="22"/>
      <c r="Q797" s="27"/>
      <c r="R797" s="22"/>
      <c r="S797" s="22"/>
      <c r="T797" s="22"/>
      <c r="U797" s="22"/>
      <c r="V797" s="22"/>
      <c r="W797" s="22"/>
      <c r="X797" s="22"/>
      <c r="Y797" s="22"/>
      <c r="Z797" s="22"/>
      <c r="AA797" s="22"/>
      <c r="AB797" s="22"/>
    </row>
    <row r="798" spans="1:28" x14ac:dyDescent="0.3">
      <c r="A798" s="22"/>
      <c r="B798" s="22"/>
      <c r="C798" s="22"/>
      <c r="D798" s="22"/>
      <c r="E798" s="22"/>
      <c r="F798" s="22"/>
      <c r="G798" s="22"/>
      <c r="H798" s="22"/>
      <c r="I798" s="22"/>
      <c r="J798" s="22"/>
      <c r="K798" s="22"/>
      <c r="L798" s="22"/>
      <c r="M798" s="22"/>
      <c r="N798" s="22"/>
      <c r="O798" s="22"/>
      <c r="P798" s="22"/>
      <c r="Q798" s="27"/>
      <c r="R798" s="22"/>
      <c r="S798" s="22"/>
      <c r="T798" s="22"/>
      <c r="U798" s="22"/>
      <c r="V798" s="22"/>
      <c r="W798" s="22"/>
      <c r="X798" s="22"/>
      <c r="Y798" s="22"/>
      <c r="Z798" s="22"/>
      <c r="AA798" s="22"/>
      <c r="AB798" s="22"/>
    </row>
    <row r="799" spans="1:28" x14ac:dyDescent="0.3">
      <c r="A799" s="22"/>
      <c r="B799" s="22"/>
      <c r="C799" s="22"/>
      <c r="D799" s="22"/>
      <c r="E799" s="22"/>
      <c r="F799" s="22"/>
      <c r="G799" s="22"/>
      <c r="H799" s="22"/>
      <c r="I799" s="22"/>
      <c r="J799" s="22"/>
      <c r="K799" s="22"/>
      <c r="L799" s="22"/>
      <c r="M799" s="22"/>
      <c r="N799" s="22"/>
      <c r="O799" s="22"/>
      <c r="P799" s="22"/>
      <c r="Q799" s="27"/>
      <c r="R799" s="22"/>
      <c r="S799" s="22"/>
      <c r="T799" s="22"/>
      <c r="U799" s="22"/>
      <c r="V799" s="22"/>
      <c r="W799" s="22"/>
      <c r="X799" s="22"/>
      <c r="Y799" s="22"/>
      <c r="Z799" s="22"/>
      <c r="AA799" s="22"/>
      <c r="AB799" s="22"/>
    </row>
    <row r="800" spans="1:28" x14ac:dyDescent="0.3">
      <c r="A800" s="22"/>
      <c r="B800" s="22"/>
      <c r="C800" s="22"/>
      <c r="D800" s="22"/>
      <c r="E800" s="22"/>
      <c r="F800" s="22"/>
      <c r="G800" s="22"/>
      <c r="H800" s="22"/>
      <c r="I800" s="22"/>
      <c r="J800" s="22"/>
      <c r="K800" s="22"/>
      <c r="L800" s="22"/>
      <c r="M800" s="22"/>
      <c r="N800" s="22"/>
      <c r="O800" s="22"/>
      <c r="P800" s="22"/>
      <c r="Q800" s="27"/>
      <c r="R800" s="22"/>
      <c r="S800" s="22"/>
      <c r="T800" s="22"/>
      <c r="U800" s="22"/>
      <c r="V800" s="22"/>
      <c r="W800" s="22"/>
      <c r="X800" s="22"/>
      <c r="Y800" s="22"/>
      <c r="Z800" s="22"/>
      <c r="AA800" s="22"/>
      <c r="AB800" s="22"/>
    </row>
    <row r="801" spans="1:28" x14ac:dyDescent="0.3">
      <c r="A801" s="22"/>
      <c r="B801" s="22"/>
      <c r="C801" s="22"/>
      <c r="D801" s="22"/>
      <c r="E801" s="22"/>
      <c r="F801" s="22"/>
      <c r="G801" s="22"/>
      <c r="H801" s="22"/>
      <c r="I801" s="22"/>
      <c r="J801" s="22"/>
      <c r="K801" s="22"/>
      <c r="L801" s="22"/>
      <c r="M801" s="22"/>
      <c r="N801" s="22"/>
      <c r="O801" s="22"/>
      <c r="P801" s="22"/>
      <c r="Q801" s="27"/>
      <c r="R801" s="22"/>
      <c r="S801" s="22"/>
      <c r="T801" s="22"/>
      <c r="U801" s="22"/>
      <c r="V801" s="22"/>
      <c r="W801" s="22"/>
      <c r="X801" s="22"/>
      <c r="Y801" s="22"/>
      <c r="Z801" s="22"/>
      <c r="AA801" s="22"/>
      <c r="AB801" s="22"/>
    </row>
    <row r="802" spans="1:28" x14ac:dyDescent="0.3">
      <c r="A802" s="22"/>
      <c r="B802" s="22"/>
      <c r="C802" s="22"/>
      <c r="D802" s="22"/>
      <c r="E802" s="22"/>
      <c r="F802" s="22"/>
      <c r="G802" s="22"/>
      <c r="H802" s="22"/>
      <c r="I802" s="22"/>
      <c r="J802" s="22"/>
      <c r="K802" s="22"/>
      <c r="L802" s="22"/>
      <c r="M802" s="22"/>
      <c r="N802" s="22"/>
      <c r="O802" s="22"/>
      <c r="P802" s="22"/>
      <c r="Q802" s="27"/>
      <c r="R802" s="22"/>
      <c r="S802" s="22"/>
      <c r="T802" s="22"/>
      <c r="U802" s="22"/>
      <c r="V802" s="22"/>
      <c r="W802" s="22"/>
      <c r="X802" s="22"/>
      <c r="Y802" s="22"/>
      <c r="Z802" s="22"/>
      <c r="AA802" s="22"/>
      <c r="AB802" s="22"/>
    </row>
    <row r="803" spans="1:28" x14ac:dyDescent="0.3">
      <c r="A803" s="22"/>
      <c r="B803" s="22"/>
      <c r="C803" s="22"/>
      <c r="D803" s="22"/>
      <c r="E803" s="22"/>
      <c r="F803" s="22"/>
      <c r="G803" s="22"/>
      <c r="H803" s="22"/>
      <c r="I803" s="22"/>
      <c r="J803" s="22"/>
      <c r="K803" s="22"/>
      <c r="L803" s="22"/>
      <c r="M803" s="22"/>
      <c r="N803" s="22"/>
      <c r="O803" s="22"/>
      <c r="P803" s="22"/>
      <c r="Q803" s="27"/>
      <c r="R803" s="22"/>
      <c r="S803" s="22"/>
      <c r="T803" s="22"/>
      <c r="U803" s="22"/>
      <c r="V803" s="22"/>
      <c r="W803" s="22"/>
      <c r="X803" s="22"/>
      <c r="Y803" s="22"/>
      <c r="Z803" s="22"/>
      <c r="AA803" s="22"/>
      <c r="AB803" s="22"/>
    </row>
    <row r="804" spans="1:28" x14ac:dyDescent="0.3">
      <c r="A804" s="22"/>
      <c r="B804" s="22"/>
      <c r="C804" s="22"/>
      <c r="D804" s="22"/>
      <c r="E804" s="22"/>
      <c r="F804" s="22"/>
      <c r="G804" s="22"/>
      <c r="H804" s="22"/>
      <c r="I804" s="22"/>
      <c r="J804" s="22"/>
      <c r="K804" s="22"/>
      <c r="L804" s="22"/>
      <c r="M804" s="22"/>
      <c r="N804" s="22"/>
      <c r="O804" s="22"/>
      <c r="P804" s="22"/>
      <c r="Q804" s="27"/>
      <c r="R804" s="22"/>
      <c r="S804" s="22"/>
      <c r="T804" s="22"/>
      <c r="U804" s="22"/>
      <c r="V804" s="22"/>
      <c r="W804" s="22"/>
      <c r="X804" s="22"/>
      <c r="Y804" s="22"/>
      <c r="Z804" s="22"/>
      <c r="AA804" s="22"/>
      <c r="AB804" s="22"/>
    </row>
    <row r="805" spans="1:28" x14ac:dyDescent="0.3">
      <c r="A805" s="22"/>
      <c r="B805" s="22"/>
      <c r="C805" s="22"/>
      <c r="D805" s="22"/>
      <c r="E805" s="22"/>
      <c r="F805" s="22"/>
      <c r="G805" s="22"/>
      <c r="H805" s="22"/>
      <c r="I805" s="22"/>
      <c r="J805" s="22"/>
      <c r="K805" s="22"/>
      <c r="L805" s="22"/>
      <c r="M805" s="22"/>
      <c r="N805" s="22"/>
      <c r="O805" s="22"/>
      <c r="P805" s="22"/>
      <c r="Q805" s="27"/>
      <c r="R805" s="22"/>
      <c r="S805" s="22"/>
      <c r="T805" s="22"/>
      <c r="U805" s="22"/>
      <c r="V805" s="22"/>
      <c r="W805" s="22"/>
      <c r="X805" s="22"/>
      <c r="Y805" s="22"/>
      <c r="Z805" s="22"/>
      <c r="AA805" s="22"/>
      <c r="AB805" s="22"/>
    </row>
    <row r="806" spans="1:28" x14ac:dyDescent="0.3">
      <c r="A806" s="22"/>
      <c r="B806" s="22"/>
      <c r="C806" s="22"/>
      <c r="D806" s="22"/>
      <c r="E806" s="22"/>
      <c r="F806" s="22"/>
      <c r="G806" s="22"/>
      <c r="H806" s="22"/>
      <c r="I806" s="22"/>
      <c r="J806" s="22"/>
      <c r="K806" s="22"/>
      <c r="L806" s="22"/>
      <c r="M806" s="22"/>
      <c r="N806" s="22"/>
      <c r="O806" s="22"/>
      <c r="P806" s="22"/>
      <c r="Q806" s="27"/>
      <c r="R806" s="22"/>
      <c r="S806" s="22"/>
      <c r="T806" s="22"/>
      <c r="U806" s="22"/>
      <c r="V806" s="22"/>
      <c r="W806" s="22"/>
      <c r="X806" s="22"/>
      <c r="Y806" s="22"/>
      <c r="Z806" s="22"/>
      <c r="AA806" s="22"/>
      <c r="AB806" s="22"/>
    </row>
    <row r="807" spans="1:28" x14ac:dyDescent="0.3">
      <c r="A807" s="22"/>
      <c r="B807" s="22"/>
      <c r="C807" s="22"/>
      <c r="D807" s="22"/>
      <c r="E807" s="22"/>
      <c r="F807" s="22"/>
      <c r="G807" s="22"/>
      <c r="H807" s="22"/>
      <c r="I807" s="22"/>
      <c r="J807" s="22"/>
      <c r="K807" s="22"/>
      <c r="L807" s="22"/>
      <c r="M807" s="22"/>
      <c r="N807" s="22"/>
      <c r="O807" s="22"/>
      <c r="P807" s="22"/>
      <c r="Q807" s="27"/>
      <c r="R807" s="22"/>
      <c r="S807" s="22"/>
      <c r="T807" s="22"/>
      <c r="U807" s="22"/>
      <c r="V807" s="22"/>
      <c r="W807" s="22"/>
      <c r="X807" s="22"/>
      <c r="Y807" s="22"/>
      <c r="Z807" s="22"/>
      <c r="AA807" s="22"/>
      <c r="AB807" s="22"/>
    </row>
    <row r="808" spans="1:28" x14ac:dyDescent="0.3">
      <c r="A808" s="22"/>
      <c r="B808" s="22"/>
      <c r="C808" s="22"/>
      <c r="D808" s="22"/>
      <c r="E808" s="22"/>
      <c r="F808" s="22"/>
      <c r="G808" s="22"/>
      <c r="H808" s="22"/>
      <c r="I808" s="22"/>
      <c r="J808" s="22"/>
      <c r="K808" s="22"/>
      <c r="L808" s="22"/>
      <c r="M808" s="22"/>
      <c r="N808" s="22"/>
      <c r="O808" s="22"/>
      <c r="P808" s="22"/>
      <c r="Q808" s="27"/>
      <c r="R808" s="22"/>
      <c r="S808" s="22"/>
      <c r="T808" s="22"/>
      <c r="U808" s="22"/>
      <c r="V808" s="22"/>
      <c r="W808" s="22"/>
      <c r="X808" s="22"/>
      <c r="Y808" s="22"/>
      <c r="Z808" s="22"/>
      <c r="AA808" s="22"/>
      <c r="AB808" s="22"/>
    </row>
    <row r="809" spans="1:28" x14ac:dyDescent="0.3">
      <c r="A809" s="22"/>
      <c r="B809" s="22"/>
      <c r="C809" s="22"/>
      <c r="D809" s="22"/>
      <c r="E809" s="22"/>
      <c r="F809" s="22"/>
      <c r="G809" s="22"/>
      <c r="H809" s="22"/>
      <c r="I809" s="22"/>
      <c r="J809" s="22"/>
      <c r="K809" s="22"/>
      <c r="L809" s="22"/>
      <c r="M809" s="22"/>
      <c r="N809" s="22"/>
      <c r="O809" s="22"/>
      <c r="P809" s="22"/>
      <c r="Q809" s="27"/>
      <c r="R809" s="22"/>
      <c r="S809" s="22"/>
      <c r="T809" s="22"/>
      <c r="U809" s="22"/>
      <c r="V809" s="22"/>
      <c r="W809" s="22"/>
      <c r="X809" s="22"/>
      <c r="Y809" s="22"/>
      <c r="Z809" s="22"/>
      <c r="AA809" s="22"/>
      <c r="AB809" s="22"/>
    </row>
    <row r="810" spans="1:28" x14ac:dyDescent="0.3">
      <c r="A810" s="22"/>
      <c r="B810" s="22"/>
      <c r="C810" s="22"/>
      <c r="D810" s="22"/>
      <c r="E810" s="22"/>
      <c r="F810" s="22"/>
      <c r="G810" s="22"/>
      <c r="H810" s="22"/>
      <c r="I810" s="22"/>
      <c r="J810" s="22"/>
      <c r="K810" s="22"/>
      <c r="L810" s="22"/>
      <c r="M810" s="22"/>
      <c r="N810" s="22"/>
      <c r="O810" s="22"/>
      <c r="P810" s="22"/>
      <c r="Q810" s="27"/>
      <c r="R810" s="22"/>
      <c r="S810" s="22"/>
      <c r="T810" s="22"/>
      <c r="U810" s="22"/>
      <c r="V810" s="22"/>
      <c r="W810" s="22"/>
      <c r="X810" s="22"/>
      <c r="Y810" s="22"/>
      <c r="Z810" s="22"/>
      <c r="AA810" s="22"/>
      <c r="AB810" s="22"/>
    </row>
    <row r="811" spans="1:28" x14ac:dyDescent="0.3">
      <c r="A811" s="22"/>
      <c r="B811" s="22"/>
      <c r="C811" s="22"/>
      <c r="D811" s="22"/>
      <c r="E811" s="22"/>
      <c r="F811" s="22"/>
      <c r="G811" s="22"/>
      <c r="H811" s="22"/>
      <c r="I811" s="22"/>
      <c r="J811" s="22"/>
      <c r="K811" s="22"/>
      <c r="L811" s="22"/>
      <c r="M811" s="22"/>
      <c r="N811" s="22"/>
      <c r="O811" s="22"/>
      <c r="P811" s="22"/>
      <c r="Q811" s="27"/>
      <c r="R811" s="22"/>
      <c r="S811" s="22"/>
      <c r="T811" s="22"/>
      <c r="U811" s="22"/>
      <c r="V811" s="22"/>
      <c r="W811" s="22"/>
      <c r="X811" s="22"/>
      <c r="Y811" s="22"/>
      <c r="Z811" s="22"/>
      <c r="AA811" s="22"/>
      <c r="AB811" s="22"/>
    </row>
    <row r="812" spans="1:28" x14ac:dyDescent="0.3">
      <c r="A812" s="22"/>
      <c r="B812" s="22"/>
      <c r="C812" s="22"/>
      <c r="D812" s="22"/>
      <c r="E812" s="22"/>
      <c r="F812" s="22"/>
      <c r="G812" s="22"/>
      <c r="H812" s="22"/>
      <c r="I812" s="22"/>
      <c r="J812" s="22"/>
      <c r="K812" s="22"/>
      <c r="L812" s="22"/>
      <c r="M812" s="22"/>
      <c r="N812" s="22"/>
      <c r="O812" s="22"/>
      <c r="P812" s="22"/>
      <c r="Q812" s="27"/>
      <c r="R812" s="22"/>
      <c r="S812" s="22"/>
      <c r="T812" s="22"/>
      <c r="U812" s="22"/>
      <c r="V812" s="22"/>
      <c r="W812" s="22"/>
      <c r="X812" s="22"/>
      <c r="Y812" s="22"/>
      <c r="Z812" s="22"/>
      <c r="AA812" s="22"/>
      <c r="AB812" s="22"/>
    </row>
    <row r="813" spans="1:28" x14ac:dyDescent="0.3">
      <c r="A813" s="22"/>
      <c r="B813" s="22"/>
      <c r="C813" s="22"/>
      <c r="D813" s="22"/>
      <c r="E813" s="22"/>
      <c r="F813" s="22"/>
      <c r="G813" s="22"/>
      <c r="H813" s="22"/>
      <c r="I813" s="22"/>
      <c r="J813" s="22"/>
      <c r="K813" s="22"/>
      <c r="L813" s="22"/>
      <c r="M813" s="22"/>
      <c r="N813" s="22"/>
      <c r="O813" s="22"/>
      <c r="P813" s="22"/>
      <c r="Q813" s="27"/>
      <c r="R813" s="22"/>
      <c r="S813" s="22"/>
      <c r="T813" s="22"/>
      <c r="U813" s="22"/>
      <c r="V813" s="22"/>
      <c r="W813" s="22"/>
      <c r="X813" s="22"/>
      <c r="Y813" s="22"/>
      <c r="Z813" s="22"/>
      <c r="AA813" s="22"/>
      <c r="AB813" s="22"/>
    </row>
    <row r="814" spans="1:28" x14ac:dyDescent="0.3">
      <c r="A814" s="22"/>
      <c r="B814" s="22"/>
      <c r="C814" s="22"/>
      <c r="D814" s="22"/>
      <c r="E814" s="22"/>
      <c r="F814" s="22"/>
      <c r="G814" s="22"/>
      <c r="H814" s="22"/>
      <c r="I814" s="22"/>
      <c r="J814" s="22"/>
      <c r="K814" s="22"/>
      <c r="L814" s="22"/>
      <c r="M814" s="22"/>
      <c r="N814" s="22"/>
      <c r="O814" s="22"/>
      <c r="P814" s="22"/>
      <c r="Q814" s="27"/>
      <c r="R814" s="22"/>
      <c r="S814" s="22"/>
      <c r="T814" s="22"/>
      <c r="U814" s="22"/>
      <c r="V814" s="22"/>
      <c r="W814" s="22"/>
      <c r="X814" s="22"/>
      <c r="Y814" s="22"/>
      <c r="Z814" s="22"/>
      <c r="AA814" s="22"/>
      <c r="AB814" s="22"/>
    </row>
    <row r="815" spans="1:28" x14ac:dyDescent="0.3">
      <c r="A815" s="22"/>
      <c r="B815" s="22"/>
      <c r="C815" s="22"/>
      <c r="D815" s="22"/>
      <c r="E815" s="22"/>
      <c r="F815" s="22"/>
      <c r="G815" s="22"/>
      <c r="H815" s="22"/>
      <c r="I815" s="22"/>
      <c r="J815" s="22"/>
      <c r="K815" s="22"/>
      <c r="L815" s="22"/>
      <c r="M815" s="22"/>
      <c r="N815" s="22"/>
      <c r="O815" s="22"/>
      <c r="P815" s="22"/>
      <c r="Q815" s="27"/>
      <c r="R815" s="22"/>
      <c r="S815" s="22"/>
      <c r="T815" s="22"/>
      <c r="U815" s="22"/>
      <c r="V815" s="22"/>
      <c r="W815" s="22"/>
      <c r="X815" s="22"/>
      <c r="Y815" s="22"/>
      <c r="Z815" s="22"/>
      <c r="AA815" s="22"/>
      <c r="AB815" s="22"/>
    </row>
    <row r="816" spans="1:28" x14ac:dyDescent="0.3">
      <c r="A816" s="22"/>
      <c r="B816" s="22"/>
      <c r="C816" s="22"/>
      <c r="D816" s="22"/>
      <c r="E816" s="22"/>
      <c r="F816" s="22"/>
      <c r="G816" s="22"/>
      <c r="H816" s="22"/>
      <c r="I816" s="22"/>
      <c r="J816" s="22"/>
      <c r="K816" s="22"/>
      <c r="L816" s="22"/>
      <c r="M816" s="22"/>
      <c r="N816" s="22"/>
      <c r="O816" s="22"/>
      <c r="P816" s="22"/>
      <c r="Q816" s="27"/>
      <c r="R816" s="22"/>
      <c r="S816" s="22"/>
      <c r="T816" s="22"/>
      <c r="U816" s="22"/>
      <c r="V816" s="22"/>
      <c r="W816" s="22"/>
      <c r="X816" s="22"/>
      <c r="Y816" s="22"/>
      <c r="Z816" s="22"/>
      <c r="AA816" s="22"/>
      <c r="AB816" s="22"/>
    </row>
    <row r="817" spans="1:28" x14ac:dyDescent="0.3">
      <c r="A817" s="22"/>
      <c r="B817" s="22"/>
      <c r="C817" s="22"/>
      <c r="D817" s="22"/>
      <c r="E817" s="22"/>
      <c r="F817" s="22"/>
      <c r="G817" s="22"/>
      <c r="H817" s="22"/>
      <c r="I817" s="22"/>
      <c r="J817" s="22"/>
      <c r="K817" s="22"/>
      <c r="L817" s="22"/>
      <c r="M817" s="22"/>
      <c r="N817" s="22"/>
      <c r="O817" s="22"/>
      <c r="P817" s="22"/>
      <c r="Q817" s="27"/>
      <c r="R817" s="22"/>
      <c r="S817" s="22"/>
      <c r="T817" s="22"/>
      <c r="U817" s="22"/>
      <c r="V817" s="22"/>
      <c r="W817" s="22"/>
      <c r="X817" s="22"/>
      <c r="Y817" s="22"/>
      <c r="Z817" s="22"/>
      <c r="AA817" s="22"/>
      <c r="AB817" s="22"/>
    </row>
    <row r="818" spans="1:28" x14ac:dyDescent="0.3">
      <c r="A818" s="22"/>
      <c r="B818" s="22"/>
      <c r="C818" s="22"/>
      <c r="D818" s="22"/>
      <c r="E818" s="22"/>
      <c r="F818" s="22"/>
      <c r="G818" s="22"/>
      <c r="H818" s="22"/>
      <c r="I818" s="22"/>
      <c r="J818" s="22"/>
      <c r="K818" s="22"/>
      <c r="L818" s="22"/>
      <c r="M818" s="22"/>
      <c r="N818" s="22"/>
      <c r="O818" s="22"/>
      <c r="P818" s="22"/>
      <c r="Q818" s="27"/>
      <c r="R818" s="22"/>
      <c r="S818" s="22"/>
      <c r="T818" s="22"/>
      <c r="U818" s="22"/>
      <c r="V818" s="22"/>
      <c r="W818" s="22"/>
      <c r="X818" s="22"/>
      <c r="Y818" s="22"/>
      <c r="Z818" s="22"/>
      <c r="AA818" s="22"/>
      <c r="AB818" s="22"/>
    </row>
    <row r="819" spans="1:28" x14ac:dyDescent="0.3">
      <c r="A819" s="22"/>
      <c r="B819" s="22"/>
      <c r="C819" s="22"/>
      <c r="D819" s="22"/>
      <c r="E819" s="22"/>
      <c r="F819" s="22"/>
      <c r="G819" s="22"/>
      <c r="H819" s="22"/>
      <c r="I819" s="22"/>
      <c r="J819" s="22"/>
      <c r="K819" s="22"/>
      <c r="L819" s="22"/>
      <c r="M819" s="22"/>
      <c r="N819" s="22"/>
      <c r="O819" s="22"/>
      <c r="P819" s="22"/>
      <c r="Q819" s="27"/>
      <c r="R819" s="22"/>
      <c r="S819" s="22"/>
      <c r="T819" s="22"/>
      <c r="U819" s="22"/>
      <c r="V819" s="22"/>
      <c r="W819" s="22"/>
      <c r="X819" s="22"/>
      <c r="Y819" s="22"/>
      <c r="Z819" s="22"/>
      <c r="AA819" s="22"/>
      <c r="AB819" s="22"/>
    </row>
    <row r="820" spans="1:28" x14ac:dyDescent="0.3">
      <c r="A820" s="22"/>
      <c r="B820" s="22"/>
      <c r="C820" s="22"/>
      <c r="D820" s="22"/>
      <c r="E820" s="22"/>
      <c r="F820" s="22"/>
      <c r="G820" s="22"/>
      <c r="H820" s="22"/>
      <c r="I820" s="22"/>
      <c r="J820" s="22"/>
      <c r="K820" s="22"/>
      <c r="L820" s="22"/>
      <c r="M820" s="22"/>
      <c r="N820" s="22"/>
      <c r="O820" s="22"/>
      <c r="P820" s="22"/>
      <c r="Q820" s="27"/>
      <c r="R820" s="22"/>
      <c r="S820" s="22"/>
      <c r="T820" s="22"/>
      <c r="U820" s="22"/>
      <c r="V820" s="22"/>
      <c r="W820" s="22"/>
      <c r="X820" s="22"/>
      <c r="Y820" s="22"/>
      <c r="Z820" s="22"/>
      <c r="AA820" s="22"/>
      <c r="AB820" s="22"/>
    </row>
    <row r="821" spans="1:28" x14ac:dyDescent="0.3">
      <c r="A821" s="22"/>
      <c r="B821" s="22"/>
      <c r="C821" s="22"/>
      <c r="D821" s="22"/>
      <c r="E821" s="22"/>
      <c r="F821" s="22"/>
      <c r="G821" s="22"/>
      <c r="H821" s="22"/>
      <c r="I821" s="22"/>
      <c r="J821" s="22"/>
      <c r="K821" s="22"/>
      <c r="L821" s="22"/>
      <c r="M821" s="22"/>
      <c r="N821" s="22"/>
      <c r="O821" s="22"/>
      <c r="P821" s="22"/>
      <c r="Q821" s="27"/>
      <c r="R821" s="22"/>
      <c r="S821" s="22"/>
      <c r="T821" s="22"/>
      <c r="U821" s="22"/>
      <c r="V821" s="22"/>
      <c r="W821" s="22"/>
      <c r="X821" s="22"/>
      <c r="Y821" s="22"/>
      <c r="Z821" s="22"/>
      <c r="AA821" s="22"/>
      <c r="AB821" s="22"/>
    </row>
    <row r="822" spans="1:28" x14ac:dyDescent="0.3">
      <c r="A822" s="22"/>
      <c r="B822" s="22"/>
      <c r="C822" s="22"/>
      <c r="D822" s="22"/>
      <c r="E822" s="22"/>
      <c r="F822" s="22"/>
      <c r="G822" s="22"/>
      <c r="H822" s="22"/>
      <c r="I822" s="22"/>
      <c r="J822" s="22"/>
      <c r="K822" s="22"/>
      <c r="L822" s="22"/>
      <c r="M822" s="22"/>
      <c r="N822" s="22"/>
      <c r="O822" s="22"/>
      <c r="P822" s="22"/>
      <c r="Q822" s="27"/>
      <c r="R822" s="22"/>
      <c r="S822" s="22"/>
      <c r="T822" s="22"/>
      <c r="U822" s="22"/>
      <c r="V822" s="22"/>
      <c r="W822" s="22"/>
      <c r="X822" s="22"/>
      <c r="Y822" s="22"/>
      <c r="Z822" s="22"/>
      <c r="AA822" s="22"/>
      <c r="AB822" s="22"/>
    </row>
    <row r="823" spans="1:28" x14ac:dyDescent="0.3">
      <c r="A823" s="22"/>
      <c r="B823" s="22"/>
      <c r="C823" s="22"/>
      <c r="D823" s="22"/>
      <c r="E823" s="22"/>
      <c r="F823" s="22"/>
      <c r="G823" s="22"/>
      <c r="H823" s="22"/>
      <c r="I823" s="22"/>
      <c r="J823" s="22"/>
      <c r="K823" s="22"/>
      <c r="L823" s="22"/>
      <c r="M823" s="22"/>
      <c r="N823" s="22"/>
      <c r="O823" s="22"/>
      <c r="P823" s="22"/>
      <c r="Q823" s="27"/>
      <c r="R823" s="22"/>
      <c r="S823" s="22"/>
      <c r="T823" s="22"/>
      <c r="U823" s="22"/>
      <c r="V823" s="22"/>
      <c r="W823" s="22"/>
      <c r="X823" s="22"/>
      <c r="Y823" s="22"/>
      <c r="Z823" s="22"/>
      <c r="AA823" s="22"/>
      <c r="AB823" s="22"/>
    </row>
    <row r="824" spans="1:28" x14ac:dyDescent="0.3">
      <c r="A824" s="22"/>
      <c r="B824" s="22"/>
      <c r="C824" s="22"/>
      <c r="D824" s="22"/>
      <c r="E824" s="22"/>
      <c r="F824" s="22"/>
      <c r="G824" s="22"/>
      <c r="H824" s="22"/>
      <c r="I824" s="22"/>
      <c r="J824" s="22"/>
      <c r="K824" s="22"/>
      <c r="L824" s="22"/>
      <c r="M824" s="22"/>
      <c r="N824" s="22"/>
      <c r="O824" s="22"/>
      <c r="P824" s="22"/>
      <c r="Q824" s="27"/>
      <c r="R824" s="22"/>
      <c r="S824" s="22"/>
      <c r="T824" s="22"/>
      <c r="U824" s="22"/>
      <c r="V824" s="22"/>
      <c r="W824" s="22"/>
      <c r="X824" s="22"/>
      <c r="Y824" s="22"/>
      <c r="Z824" s="22"/>
      <c r="AA824" s="22"/>
      <c r="AB824" s="22"/>
    </row>
    <row r="825" spans="1:28" x14ac:dyDescent="0.3">
      <c r="A825" s="22"/>
      <c r="B825" s="22"/>
      <c r="C825" s="22"/>
      <c r="D825" s="22"/>
      <c r="E825" s="22"/>
      <c r="F825" s="22"/>
      <c r="G825" s="22"/>
      <c r="H825" s="22"/>
      <c r="I825" s="22"/>
      <c r="J825" s="22"/>
      <c r="K825" s="22"/>
      <c r="L825" s="22"/>
      <c r="M825" s="22"/>
      <c r="N825" s="22"/>
      <c r="O825" s="22"/>
      <c r="P825" s="22"/>
      <c r="Q825" s="27"/>
      <c r="R825" s="22"/>
      <c r="S825" s="22"/>
      <c r="T825" s="22"/>
      <c r="U825" s="22"/>
      <c r="V825" s="22"/>
      <c r="W825" s="22"/>
      <c r="X825" s="22"/>
      <c r="Y825" s="22"/>
      <c r="Z825" s="22"/>
      <c r="AA825" s="22"/>
      <c r="AB825" s="22"/>
    </row>
    <row r="826" spans="1:28" x14ac:dyDescent="0.3">
      <c r="A826" s="22"/>
      <c r="B826" s="22"/>
      <c r="C826" s="22"/>
      <c r="D826" s="22"/>
      <c r="E826" s="22"/>
      <c r="F826" s="22"/>
      <c r="G826" s="22"/>
      <c r="H826" s="22"/>
      <c r="I826" s="22"/>
      <c r="J826" s="22"/>
      <c r="K826" s="22"/>
      <c r="L826" s="22"/>
      <c r="M826" s="22"/>
      <c r="N826" s="22"/>
      <c r="O826" s="22"/>
      <c r="P826" s="22"/>
      <c r="Q826" s="27"/>
      <c r="R826" s="22"/>
      <c r="S826" s="22"/>
      <c r="T826" s="22"/>
      <c r="U826" s="22"/>
      <c r="V826" s="22"/>
      <c r="W826" s="22"/>
      <c r="X826" s="22"/>
      <c r="Y826" s="22"/>
      <c r="Z826" s="22"/>
      <c r="AA826" s="22"/>
      <c r="AB826" s="22"/>
    </row>
    <row r="827" spans="1:28" x14ac:dyDescent="0.3">
      <c r="A827" s="22"/>
      <c r="B827" s="22"/>
      <c r="C827" s="22"/>
      <c r="D827" s="22"/>
      <c r="E827" s="22"/>
      <c r="F827" s="22"/>
      <c r="G827" s="22"/>
      <c r="H827" s="22"/>
      <c r="I827" s="22"/>
      <c r="J827" s="22"/>
      <c r="K827" s="22"/>
      <c r="L827" s="22"/>
      <c r="M827" s="22"/>
      <c r="N827" s="22"/>
      <c r="O827" s="22"/>
      <c r="P827" s="22"/>
      <c r="Q827" s="27"/>
      <c r="R827" s="22"/>
      <c r="S827" s="22"/>
      <c r="T827" s="22"/>
      <c r="U827" s="22"/>
      <c r="V827" s="22"/>
      <c r="W827" s="22"/>
      <c r="X827" s="22"/>
      <c r="Y827" s="22"/>
      <c r="Z827" s="22"/>
      <c r="AA827" s="22"/>
      <c r="AB827" s="22"/>
    </row>
    <row r="828" spans="1:28" x14ac:dyDescent="0.3">
      <c r="A828" s="22"/>
      <c r="B828" s="22"/>
      <c r="C828" s="22"/>
      <c r="D828" s="22"/>
      <c r="E828" s="22"/>
      <c r="F828" s="22"/>
      <c r="G828" s="22"/>
      <c r="H828" s="22"/>
      <c r="I828" s="22"/>
      <c r="J828" s="22"/>
      <c r="K828" s="22"/>
      <c r="L828" s="22"/>
      <c r="M828" s="22"/>
      <c r="N828" s="22"/>
      <c r="O828" s="22"/>
      <c r="P828" s="22"/>
      <c r="Q828" s="27"/>
      <c r="R828" s="22"/>
      <c r="S828" s="22"/>
      <c r="T828" s="22"/>
      <c r="U828" s="22"/>
      <c r="V828" s="22"/>
      <c r="W828" s="22"/>
      <c r="X828" s="22"/>
      <c r="Y828" s="22"/>
      <c r="Z828" s="22"/>
      <c r="AA828" s="22"/>
      <c r="AB828" s="22"/>
    </row>
    <row r="829" spans="1:28" x14ac:dyDescent="0.3">
      <c r="A829" s="22"/>
      <c r="B829" s="22"/>
      <c r="C829" s="22"/>
      <c r="D829" s="22"/>
      <c r="E829" s="22"/>
      <c r="F829" s="22"/>
      <c r="G829" s="22"/>
      <c r="H829" s="22"/>
      <c r="I829" s="22"/>
      <c r="J829" s="22"/>
      <c r="K829" s="22"/>
      <c r="L829" s="22"/>
      <c r="M829" s="22"/>
      <c r="N829" s="22"/>
      <c r="O829" s="22"/>
      <c r="P829" s="22"/>
      <c r="Q829" s="27"/>
      <c r="R829" s="22"/>
      <c r="S829" s="22"/>
      <c r="T829" s="22"/>
      <c r="U829" s="22"/>
      <c r="V829" s="22"/>
      <c r="W829" s="22"/>
      <c r="X829" s="22"/>
      <c r="Y829" s="22"/>
      <c r="Z829" s="22"/>
      <c r="AA829" s="22"/>
      <c r="AB829" s="22"/>
    </row>
    <row r="830" spans="1:28" x14ac:dyDescent="0.3">
      <c r="A830" s="22"/>
      <c r="B830" s="22"/>
      <c r="C830" s="22"/>
      <c r="D830" s="22"/>
      <c r="E830" s="22"/>
      <c r="F830" s="22"/>
      <c r="G830" s="22"/>
      <c r="H830" s="22"/>
      <c r="I830" s="22"/>
      <c r="J830" s="22"/>
      <c r="K830" s="22"/>
      <c r="L830" s="22"/>
      <c r="M830" s="22"/>
      <c r="N830" s="22"/>
      <c r="O830" s="22"/>
      <c r="P830" s="22"/>
      <c r="Q830" s="27"/>
      <c r="R830" s="22"/>
      <c r="S830" s="22"/>
      <c r="T830" s="22"/>
      <c r="U830" s="22"/>
      <c r="V830" s="22"/>
      <c r="W830" s="22"/>
      <c r="X830" s="22"/>
      <c r="Y830" s="22"/>
      <c r="Z830" s="22"/>
      <c r="AA830" s="22"/>
      <c r="AB830" s="22"/>
    </row>
    <row r="831" spans="1:28" x14ac:dyDescent="0.3">
      <c r="A831" s="22"/>
      <c r="B831" s="22"/>
      <c r="C831" s="22"/>
      <c r="D831" s="22"/>
      <c r="E831" s="22"/>
      <c r="F831" s="22"/>
      <c r="G831" s="22"/>
      <c r="H831" s="22"/>
      <c r="I831" s="22"/>
      <c r="J831" s="22"/>
      <c r="K831" s="22"/>
      <c r="L831" s="22"/>
      <c r="M831" s="22"/>
      <c r="N831" s="22"/>
      <c r="O831" s="22"/>
      <c r="P831" s="22"/>
      <c r="Q831" s="27"/>
      <c r="R831" s="22"/>
      <c r="S831" s="22"/>
      <c r="T831" s="22"/>
      <c r="U831" s="22"/>
      <c r="V831" s="22"/>
      <c r="W831" s="22"/>
      <c r="X831" s="22"/>
      <c r="Y831" s="22"/>
      <c r="Z831" s="22"/>
      <c r="AA831" s="22"/>
      <c r="AB831" s="22"/>
    </row>
    <row r="832" spans="1:28" x14ac:dyDescent="0.3">
      <c r="A832" s="22"/>
      <c r="B832" s="22"/>
      <c r="C832" s="22"/>
      <c r="D832" s="22"/>
      <c r="E832" s="22"/>
      <c r="F832" s="22"/>
      <c r="G832" s="22"/>
      <c r="H832" s="22"/>
      <c r="I832" s="22"/>
      <c r="J832" s="22"/>
      <c r="K832" s="22"/>
      <c r="L832" s="22"/>
      <c r="M832" s="22"/>
      <c r="N832" s="22"/>
      <c r="O832" s="22"/>
      <c r="P832" s="22"/>
      <c r="Q832" s="27"/>
      <c r="R832" s="22"/>
      <c r="S832" s="22"/>
      <c r="T832" s="22"/>
      <c r="U832" s="22"/>
      <c r="V832" s="22"/>
      <c r="W832" s="22"/>
      <c r="X832" s="22"/>
      <c r="Y832" s="22"/>
      <c r="Z832" s="22"/>
      <c r="AA832" s="22"/>
      <c r="AB832" s="22"/>
    </row>
    <row r="833" spans="1:28" x14ac:dyDescent="0.3">
      <c r="A833" s="22"/>
      <c r="B833" s="22"/>
      <c r="C833" s="22"/>
      <c r="D833" s="22"/>
      <c r="E833" s="22"/>
      <c r="F833" s="22"/>
      <c r="G833" s="22"/>
      <c r="H833" s="22"/>
      <c r="I833" s="22"/>
      <c r="J833" s="22"/>
      <c r="K833" s="22"/>
      <c r="L833" s="22"/>
      <c r="M833" s="22"/>
      <c r="N833" s="22"/>
      <c r="O833" s="22"/>
      <c r="P833" s="22"/>
      <c r="Q833" s="27"/>
      <c r="R833" s="22"/>
      <c r="S833" s="22"/>
      <c r="T833" s="22"/>
      <c r="U833" s="22"/>
      <c r="V833" s="22"/>
      <c r="W833" s="22"/>
      <c r="X833" s="22"/>
      <c r="Y833" s="22"/>
      <c r="Z833" s="22"/>
      <c r="AA833" s="22"/>
      <c r="AB833" s="22"/>
    </row>
    <row r="834" spans="1:28" x14ac:dyDescent="0.3">
      <c r="A834" s="22"/>
      <c r="B834" s="22"/>
      <c r="C834" s="22"/>
      <c r="D834" s="22"/>
      <c r="E834" s="22"/>
      <c r="F834" s="22"/>
      <c r="G834" s="22"/>
      <c r="H834" s="22"/>
      <c r="I834" s="22"/>
      <c r="J834" s="22"/>
      <c r="K834" s="22"/>
      <c r="L834" s="22"/>
      <c r="M834" s="22"/>
      <c r="N834" s="22"/>
      <c r="O834" s="22"/>
      <c r="P834" s="22"/>
      <c r="Q834" s="27"/>
      <c r="R834" s="22"/>
      <c r="S834" s="22"/>
      <c r="T834" s="22"/>
      <c r="U834" s="22"/>
      <c r="V834" s="22"/>
      <c r="W834" s="22"/>
      <c r="X834" s="22"/>
      <c r="Y834" s="22"/>
      <c r="Z834" s="22"/>
      <c r="AA834" s="22"/>
      <c r="AB834" s="22"/>
    </row>
    <row r="835" spans="1:28" x14ac:dyDescent="0.3">
      <c r="A835" s="22"/>
      <c r="B835" s="22"/>
      <c r="C835" s="22"/>
      <c r="D835" s="22"/>
      <c r="E835" s="22"/>
      <c r="F835" s="22"/>
      <c r="G835" s="22"/>
      <c r="H835" s="22"/>
      <c r="I835" s="22"/>
      <c r="J835" s="22"/>
      <c r="K835" s="22"/>
      <c r="L835" s="22"/>
      <c r="M835" s="22"/>
      <c r="N835" s="22"/>
      <c r="O835" s="22"/>
      <c r="P835" s="22"/>
      <c r="Q835" s="27"/>
      <c r="R835" s="22"/>
      <c r="S835" s="22"/>
      <c r="T835" s="22"/>
      <c r="U835" s="22"/>
      <c r="V835" s="22"/>
      <c r="W835" s="22"/>
      <c r="X835" s="22"/>
      <c r="Y835" s="22"/>
      <c r="Z835" s="22"/>
      <c r="AA835" s="22"/>
      <c r="AB835" s="22"/>
    </row>
    <row r="836" spans="1:28" x14ac:dyDescent="0.3">
      <c r="A836" s="22"/>
      <c r="B836" s="22"/>
      <c r="C836" s="22"/>
      <c r="D836" s="22"/>
      <c r="E836" s="22"/>
      <c r="F836" s="22"/>
      <c r="G836" s="22"/>
      <c r="H836" s="22"/>
      <c r="I836" s="22"/>
      <c r="J836" s="22"/>
      <c r="K836" s="22"/>
      <c r="L836" s="22"/>
      <c r="M836" s="22"/>
      <c r="N836" s="22"/>
      <c r="O836" s="22"/>
      <c r="P836" s="22"/>
      <c r="Q836" s="27"/>
      <c r="R836" s="22"/>
      <c r="S836" s="22"/>
      <c r="T836" s="22"/>
      <c r="U836" s="22"/>
      <c r="V836" s="22"/>
      <c r="W836" s="22"/>
      <c r="X836" s="22"/>
      <c r="Y836" s="22"/>
      <c r="Z836" s="22"/>
      <c r="AA836" s="22"/>
      <c r="AB836" s="22"/>
    </row>
    <row r="837" spans="1:28" x14ac:dyDescent="0.3">
      <c r="A837" s="22"/>
      <c r="B837" s="22"/>
      <c r="C837" s="22"/>
      <c r="D837" s="22"/>
      <c r="E837" s="22"/>
      <c r="F837" s="22"/>
      <c r="G837" s="22"/>
      <c r="H837" s="22"/>
      <c r="I837" s="22"/>
      <c r="J837" s="22"/>
      <c r="K837" s="22"/>
      <c r="L837" s="22"/>
      <c r="M837" s="22"/>
      <c r="N837" s="22"/>
      <c r="O837" s="22"/>
      <c r="P837" s="22"/>
      <c r="Q837" s="27"/>
      <c r="R837" s="22"/>
      <c r="S837" s="22"/>
      <c r="T837" s="22"/>
      <c r="U837" s="22"/>
      <c r="V837" s="22"/>
      <c r="W837" s="22"/>
      <c r="X837" s="22"/>
      <c r="Y837" s="22"/>
      <c r="Z837" s="22"/>
      <c r="AA837" s="22"/>
      <c r="AB837" s="22"/>
    </row>
    <row r="838" spans="1:28" x14ac:dyDescent="0.3">
      <c r="A838" s="22"/>
      <c r="B838" s="22"/>
      <c r="C838" s="22"/>
      <c r="D838" s="22"/>
      <c r="E838" s="22"/>
      <c r="F838" s="22"/>
      <c r="G838" s="22"/>
      <c r="H838" s="22"/>
      <c r="I838" s="22"/>
      <c r="J838" s="22"/>
      <c r="K838" s="22"/>
      <c r="L838" s="22"/>
      <c r="M838" s="22"/>
      <c r="N838" s="22"/>
      <c r="O838" s="22"/>
      <c r="P838" s="22"/>
      <c r="Q838" s="27"/>
      <c r="R838" s="22"/>
      <c r="S838" s="22"/>
      <c r="T838" s="22"/>
      <c r="U838" s="22"/>
      <c r="V838" s="22"/>
      <c r="W838" s="22"/>
      <c r="X838" s="22"/>
      <c r="Y838" s="22"/>
      <c r="Z838" s="22"/>
      <c r="AA838" s="22"/>
      <c r="AB838" s="22"/>
    </row>
    <row r="839" spans="1:28" x14ac:dyDescent="0.3">
      <c r="A839" s="22"/>
      <c r="B839" s="22"/>
      <c r="C839" s="22"/>
      <c r="D839" s="22"/>
      <c r="E839" s="22"/>
      <c r="F839" s="22"/>
      <c r="G839" s="22"/>
      <c r="H839" s="22"/>
      <c r="I839" s="22"/>
      <c r="J839" s="22"/>
      <c r="K839" s="22"/>
      <c r="L839" s="22"/>
      <c r="M839" s="22"/>
      <c r="N839" s="22"/>
      <c r="O839" s="22"/>
      <c r="P839" s="22"/>
      <c r="Q839" s="27"/>
      <c r="R839" s="22"/>
      <c r="S839" s="22"/>
      <c r="T839" s="22"/>
      <c r="U839" s="22"/>
      <c r="V839" s="22"/>
      <c r="W839" s="22"/>
      <c r="X839" s="22"/>
      <c r="Y839" s="22"/>
      <c r="Z839" s="22"/>
      <c r="AA839" s="22"/>
      <c r="AB839" s="22"/>
    </row>
    <row r="840" spans="1:28" x14ac:dyDescent="0.3">
      <c r="A840" s="22"/>
      <c r="B840" s="22"/>
      <c r="C840" s="22"/>
      <c r="D840" s="22"/>
      <c r="E840" s="22"/>
      <c r="F840" s="22"/>
      <c r="G840" s="22"/>
      <c r="H840" s="22"/>
      <c r="I840" s="22"/>
      <c r="J840" s="22"/>
      <c r="K840" s="22"/>
      <c r="L840" s="22"/>
      <c r="M840" s="22"/>
      <c r="N840" s="22"/>
      <c r="O840" s="22"/>
      <c r="P840" s="22"/>
      <c r="Q840" s="27"/>
      <c r="R840" s="22"/>
      <c r="S840" s="22"/>
      <c r="T840" s="22"/>
      <c r="U840" s="22"/>
      <c r="V840" s="22"/>
      <c r="W840" s="22"/>
      <c r="X840" s="22"/>
      <c r="Y840" s="22"/>
      <c r="Z840" s="22"/>
      <c r="AA840" s="22"/>
      <c r="AB840" s="22"/>
    </row>
    <row r="841" spans="1:28" x14ac:dyDescent="0.3">
      <c r="A841" s="22"/>
      <c r="B841" s="22"/>
      <c r="C841" s="22"/>
      <c r="D841" s="22"/>
      <c r="E841" s="22"/>
      <c r="F841" s="22"/>
      <c r="G841" s="22"/>
      <c r="H841" s="22"/>
      <c r="I841" s="22"/>
      <c r="J841" s="22"/>
      <c r="K841" s="22"/>
      <c r="L841" s="22"/>
      <c r="M841" s="22"/>
      <c r="N841" s="22"/>
      <c r="O841" s="22"/>
      <c r="P841" s="22"/>
      <c r="Q841" s="27"/>
      <c r="R841" s="22"/>
      <c r="S841" s="22"/>
      <c r="T841" s="22"/>
      <c r="U841" s="22"/>
      <c r="V841" s="22"/>
      <c r="W841" s="22"/>
      <c r="X841" s="22"/>
      <c r="Y841" s="22"/>
      <c r="Z841" s="22"/>
      <c r="AA841" s="22"/>
      <c r="AB841" s="22"/>
    </row>
    <row r="842" spans="1:28" x14ac:dyDescent="0.3">
      <c r="A842" s="22"/>
      <c r="B842" s="22"/>
      <c r="C842" s="22"/>
      <c r="D842" s="22"/>
      <c r="E842" s="22"/>
      <c r="F842" s="22"/>
      <c r="G842" s="22"/>
      <c r="H842" s="22"/>
      <c r="I842" s="22"/>
      <c r="J842" s="22"/>
      <c r="K842" s="22"/>
      <c r="L842" s="22"/>
      <c r="M842" s="22"/>
      <c r="N842" s="22"/>
      <c r="O842" s="22"/>
      <c r="P842" s="22"/>
      <c r="Q842" s="27"/>
      <c r="R842" s="22"/>
      <c r="S842" s="22"/>
      <c r="T842" s="22"/>
      <c r="U842" s="22"/>
      <c r="V842" s="22"/>
      <c r="W842" s="22"/>
      <c r="X842" s="22"/>
      <c r="Y842" s="22"/>
      <c r="Z842" s="22"/>
      <c r="AA842" s="22"/>
      <c r="AB842" s="22"/>
    </row>
    <row r="843" spans="1:28" x14ac:dyDescent="0.3">
      <c r="A843" s="22"/>
      <c r="B843" s="22"/>
      <c r="C843" s="22"/>
      <c r="D843" s="22"/>
      <c r="E843" s="22"/>
      <c r="F843" s="22"/>
      <c r="G843" s="22"/>
      <c r="H843" s="22"/>
      <c r="I843" s="22"/>
      <c r="J843" s="22"/>
      <c r="K843" s="22"/>
      <c r="L843" s="22"/>
      <c r="M843" s="22"/>
      <c r="N843" s="22"/>
      <c r="O843" s="22"/>
      <c r="P843" s="22"/>
      <c r="Q843" s="27"/>
      <c r="R843" s="22"/>
      <c r="S843" s="22"/>
      <c r="T843" s="22"/>
      <c r="U843" s="22"/>
      <c r="V843" s="22"/>
      <c r="W843" s="22"/>
      <c r="X843" s="22"/>
      <c r="Y843" s="22"/>
      <c r="Z843" s="22"/>
      <c r="AA843" s="22"/>
      <c r="AB843" s="22"/>
    </row>
    <row r="844" spans="1:28" x14ac:dyDescent="0.3">
      <c r="A844" s="22"/>
      <c r="B844" s="22"/>
      <c r="C844" s="22"/>
      <c r="D844" s="22"/>
      <c r="E844" s="22"/>
      <c r="F844" s="22"/>
      <c r="G844" s="22"/>
      <c r="H844" s="22"/>
      <c r="I844" s="22"/>
      <c r="J844" s="22"/>
      <c r="K844" s="22"/>
      <c r="L844" s="22"/>
      <c r="M844" s="22"/>
      <c r="N844" s="22"/>
      <c r="O844" s="22"/>
      <c r="P844" s="22"/>
      <c r="Q844" s="27"/>
      <c r="R844" s="22"/>
      <c r="S844" s="22"/>
      <c r="T844" s="22"/>
      <c r="U844" s="22"/>
      <c r="V844" s="22"/>
      <c r="W844" s="22"/>
      <c r="X844" s="22"/>
      <c r="Y844" s="22"/>
      <c r="Z844" s="22"/>
      <c r="AA844" s="22"/>
      <c r="AB844" s="22"/>
    </row>
    <row r="845" spans="1:28" x14ac:dyDescent="0.3">
      <c r="A845" s="22"/>
      <c r="B845" s="22"/>
      <c r="C845" s="22"/>
      <c r="D845" s="22"/>
      <c r="E845" s="22"/>
      <c r="F845" s="22"/>
      <c r="G845" s="22"/>
      <c r="H845" s="22"/>
      <c r="I845" s="22"/>
      <c r="J845" s="22"/>
      <c r="K845" s="22"/>
      <c r="L845" s="22"/>
      <c r="M845" s="22"/>
      <c r="N845" s="22"/>
      <c r="O845" s="22"/>
      <c r="P845" s="22"/>
      <c r="Q845" s="27"/>
      <c r="R845" s="22"/>
      <c r="S845" s="22"/>
      <c r="T845" s="22"/>
      <c r="U845" s="22"/>
      <c r="V845" s="22"/>
      <c r="W845" s="22"/>
      <c r="X845" s="22"/>
      <c r="Y845" s="22"/>
      <c r="Z845" s="22"/>
      <c r="AA845" s="22"/>
      <c r="AB845" s="22"/>
    </row>
    <row r="846" spans="1:28" x14ac:dyDescent="0.3">
      <c r="A846" s="22"/>
      <c r="B846" s="22"/>
      <c r="C846" s="22"/>
      <c r="D846" s="22"/>
      <c r="E846" s="22"/>
      <c r="F846" s="22"/>
      <c r="G846" s="22"/>
      <c r="H846" s="22"/>
      <c r="I846" s="22"/>
      <c r="J846" s="22"/>
      <c r="K846" s="22"/>
      <c r="L846" s="22"/>
      <c r="M846" s="22"/>
      <c r="N846" s="22"/>
      <c r="O846" s="22"/>
      <c r="P846" s="22"/>
      <c r="Q846" s="27"/>
      <c r="R846" s="22"/>
      <c r="S846" s="22"/>
      <c r="T846" s="22"/>
      <c r="U846" s="22"/>
      <c r="V846" s="22"/>
      <c r="W846" s="22"/>
      <c r="X846" s="22"/>
      <c r="Y846" s="22"/>
      <c r="Z846" s="22"/>
      <c r="AA846" s="22"/>
      <c r="AB846" s="22"/>
    </row>
    <row r="847" spans="1:28" x14ac:dyDescent="0.3">
      <c r="A847" s="22"/>
      <c r="B847" s="22"/>
      <c r="C847" s="22"/>
      <c r="D847" s="22"/>
      <c r="E847" s="22"/>
      <c r="F847" s="22"/>
      <c r="G847" s="22"/>
      <c r="H847" s="22"/>
      <c r="I847" s="22"/>
      <c r="J847" s="22"/>
      <c r="K847" s="22"/>
      <c r="L847" s="22"/>
      <c r="M847" s="22"/>
      <c r="N847" s="22"/>
      <c r="O847" s="22"/>
      <c r="P847" s="22"/>
      <c r="Q847" s="27"/>
      <c r="R847" s="22"/>
      <c r="S847" s="22"/>
      <c r="T847" s="22"/>
      <c r="U847" s="22"/>
      <c r="V847" s="22"/>
      <c r="W847" s="22"/>
      <c r="X847" s="22"/>
      <c r="Y847" s="22"/>
      <c r="Z847" s="22"/>
      <c r="AA847" s="22"/>
      <c r="AB847" s="22"/>
    </row>
    <row r="848" spans="1:28" x14ac:dyDescent="0.3">
      <c r="A848" s="22"/>
      <c r="B848" s="22"/>
      <c r="C848" s="22"/>
      <c r="D848" s="22"/>
      <c r="E848" s="22"/>
      <c r="F848" s="22"/>
      <c r="G848" s="22"/>
      <c r="H848" s="22"/>
      <c r="I848" s="22"/>
      <c r="J848" s="22"/>
      <c r="K848" s="22"/>
      <c r="L848" s="22"/>
      <c r="M848" s="22"/>
      <c r="N848" s="22"/>
      <c r="O848" s="22"/>
      <c r="P848" s="22"/>
      <c r="Q848" s="27"/>
      <c r="R848" s="22"/>
      <c r="S848" s="22"/>
      <c r="T848" s="22"/>
      <c r="U848" s="22"/>
      <c r="V848" s="22"/>
      <c r="W848" s="22"/>
      <c r="X848" s="22"/>
      <c r="Y848" s="22"/>
      <c r="Z848" s="22"/>
      <c r="AA848" s="22"/>
      <c r="AB848" s="22"/>
    </row>
    <row r="849" spans="1:28" x14ac:dyDescent="0.3">
      <c r="A849" s="22"/>
      <c r="B849" s="22"/>
      <c r="C849" s="22"/>
      <c r="D849" s="22"/>
      <c r="E849" s="22"/>
      <c r="F849" s="22"/>
      <c r="G849" s="22"/>
      <c r="H849" s="22"/>
      <c r="I849" s="22"/>
      <c r="J849" s="22"/>
      <c r="K849" s="22"/>
      <c r="L849" s="22"/>
      <c r="M849" s="22"/>
      <c r="N849" s="22"/>
      <c r="O849" s="22"/>
      <c r="P849" s="22"/>
      <c r="Q849" s="27"/>
      <c r="R849" s="22"/>
      <c r="S849" s="22"/>
      <c r="T849" s="22"/>
      <c r="U849" s="22"/>
      <c r="V849" s="22"/>
      <c r="W849" s="22"/>
      <c r="X849" s="22"/>
      <c r="Y849" s="22"/>
      <c r="Z849" s="22"/>
      <c r="AA849" s="22"/>
      <c r="AB849" s="22"/>
    </row>
    <row r="850" spans="1:28" x14ac:dyDescent="0.3">
      <c r="A850" s="22"/>
      <c r="B850" s="22"/>
      <c r="C850" s="22"/>
      <c r="D850" s="22"/>
      <c r="E850" s="22"/>
      <c r="F850" s="22"/>
      <c r="G850" s="22"/>
      <c r="H850" s="22"/>
      <c r="I850" s="22"/>
      <c r="J850" s="22"/>
      <c r="K850" s="22"/>
      <c r="L850" s="22"/>
      <c r="M850" s="22"/>
      <c r="N850" s="22"/>
      <c r="O850" s="22"/>
      <c r="P850" s="22"/>
      <c r="Q850" s="27"/>
      <c r="R850" s="22"/>
      <c r="S850" s="22"/>
      <c r="T850" s="22"/>
      <c r="U850" s="22"/>
      <c r="V850" s="22"/>
      <c r="W850" s="22"/>
      <c r="X850" s="22"/>
      <c r="Y850" s="22"/>
      <c r="Z850" s="22"/>
      <c r="AA850" s="22"/>
      <c r="AB850" s="22"/>
    </row>
    <row r="851" spans="1:28" x14ac:dyDescent="0.3">
      <c r="A851" s="22"/>
      <c r="B851" s="22"/>
      <c r="C851" s="22"/>
      <c r="D851" s="22"/>
      <c r="E851" s="22"/>
      <c r="F851" s="22"/>
      <c r="G851" s="22"/>
      <c r="H851" s="22"/>
      <c r="I851" s="22"/>
      <c r="J851" s="22"/>
      <c r="K851" s="22"/>
      <c r="L851" s="22"/>
      <c r="M851" s="22"/>
      <c r="N851" s="22"/>
      <c r="O851" s="22"/>
      <c r="P851" s="22"/>
      <c r="Q851" s="27"/>
      <c r="R851" s="22"/>
      <c r="S851" s="22"/>
      <c r="T851" s="22"/>
      <c r="U851" s="22"/>
      <c r="V851" s="22"/>
      <c r="W851" s="22"/>
      <c r="X851" s="22"/>
      <c r="Y851" s="22"/>
      <c r="Z851" s="22"/>
      <c r="AA851" s="22"/>
      <c r="AB851" s="22"/>
    </row>
    <row r="852" spans="1:28" x14ac:dyDescent="0.3">
      <c r="A852" s="22"/>
      <c r="B852" s="22"/>
      <c r="C852" s="22"/>
      <c r="D852" s="22"/>
      <c r="E852" s="22"/>
      <c r="F852" s="22"/>
      <c r="G852" s="22"/>
      <c r="H852" s="22"/>
      <c r="I852" s="22"/>
      <c r="J852" s="22"/>
      <c r="K852" s="22"/>
      <c r="L852" s="22"/>
      <c r="M852" s="22"/>
      <c r="N852" s="22"/>
      <c r="O852" s="22"/>
      <c r="P852" s="22"/>
      <c r="Q852" s="27"/>
      <c r="R852" s="22"/>
      <c r="S852" s="22"/>
      <c r="T852" s="22"/>
      <c r="U852" s="22"/>
      <c r="V852" s="22"/>
      <c r="W852" s="22"/>
      <c r="X852" s="22"/>
      <c r="Y852" s="22"/>
      <c r="Z852" s="22"/>
      <c r="AA852" s="22"/>
      <c r="AB852" s="22"/>
    </row>
    <row r="853" spans="1:28" x14ac:dyDescent="0.3">
      <c r="A853" s="22"/>
      <c r="B853" s="22"/>
      <c r="C853" s="22"/>
      <c r="D853" s="22"/>
      <c r="E853" s="22"/>
      <c r="F853" s="22"/>
      <c r="G853" s="22"/>
      <c r="H853" s="22"/>
      <c r="I853" s="22"/>
      <c r="J853" s="22"/>
      <c r="K853" s="22"/>
      <c r="L853" s="22"/>
      <c r="M853" s="22"/>
      <c r="N853" s="22"/>
      <c r="O853" s="22"/>
      <c r="P853" s="22"/>
      <c r="Q853" s="27"/>
      <c r="R853" s="22"/>
      <c r="S853" s="22"/>
      <c r="T853" s="22"/>
      <c r="U853" s="22"/>
      <c r="V853" s="22"/>
      <c r="W853" s="22"/>
      <c r="X853" s="22"/>
      <c r="Y853" s="22"/>
      <c r="Z853" s="22"/>
      <c r="AA853" s="22"/>
      <c r="AB853" s="22"/>
    </row>
    <row r="854" spans="1:28" x14ac:dyDescent="0.3">
      <c r="A854" s="22"/>
      <c r="B854" s="22"/>
      <c r="C854" s="22"/>
      <c r="D854" s="22"/>
      <c r="E854" s="22"/>
      <c r="F854" s="22"/>
      <c r="G854" s="22"/>
      <c r="H854" s="22"/>
      <c r="I854" s="22"/>
      <c r="J854" s="22"/>
      <c r="K854" s="22"/>
      <c r="L854" s="22"/>
      <c r="M854" s="22"/>
      <c r="N854" s="22"/>
      <c r="O854" s="22"/>
      <c r="P854" s="22"/>
      <c r="Q854" s="27"/>
      <c r="R854" s="22"/>
      <c r="S854" s="22"/>
      <c r="T854" s="22"/>
      <c r="U854" s="22"/>
      <c r="V854" s="22"/>
      <c r="W854" s="22"/>
      <c r="X854" s="22"/>
      <c r="Y854" s="22"/>
      <c r="Z854" s="22"/>
      <c r="AA854" s="22"/>
      <c r="AB854" s="22"/>
    </row>
    <row r="855" spans="1:28" x14ac:dyDescent="0.3">
      <c r="A855" s="22"/>
      <c r="B855" s="22"/>
      <c r="C855" s="22"/>
      <c r="D855" s="22"/>
      <c r="E855" s="22"/>
      <c r="F855" s="22"/>
      <c r="G855" s="22"/>
      <c r="H855" s="22"/>
      <c r="I855" s="22"/>
      <c r="J855" s="22"/>
      <c r="K855" s="22"/>
      <c r="L855" s="22"/>
      <c r="M855" s="22"/>
      <c r="N855" s="22"/>
      <c r="O855" s="22"/>
      <c r="P855" s="22"/>
      <c r="Q855" s="27"/>
      <c r="R855" s="22"/>
      <c r="S855" s="22"/>
      <c r="T855" s="22"/>
      <c r="U855" s="22"/>
      <c r="V855" s="22"/>
      <c r="W855" s="22"/>
      <c r="X855" s="22"/>
      <c r="Y855" s="22"/>
      <c r="Z855" s="22"/>
      <c r="AA855" s="22"/>
      <c r="AB855" s="22"/>
    </row>
    <row r="856" spans="1:28" x14ac:dyDescent="0.3">
      <c r="A856" s="22"/>
      <c r="B856" s="22"/>
      <c r="C856" s="22"/>
      <c r="D856" s="22"/>
      <c r="E856" s="22"/>
      <c r="F856" s="22"/>
      <c r="G856" s="22"/>
      <c r="H856" s="22"/>
      <c r="I856" s="22"/>
      <c r="J856" s="22"/>
      <c r="K856" s="22"/>
      <c r="L856" s="22"/>
      <c r="M856" s="22"/>
      <c r="N856" s="22"/>
      <c r="O856" s="22"/>
      <c r="P856" s="22"/>
      <c r="Q856" s="27"/>
      <c r="R856" s="22"/>
      <c r="S856" s="22"/>
      <c r="T856" s="22"/>
      <c r="U856" s="22"/>
      <c r="V856" s="22"/>
      <c r="W856" s="22"/>
      <c r="X856" s="22"/>
      <c r="Y856" s="22"/>
      <c r="Z856" s="22"/>
      <c r="AA856" s="22"/>
      <c r="AB856" s="22"/>
    </row>
    <row r="857" spans="1:28" x14ac:dyDescent="0.3">
      <c r="A857" s="22"/>
      <c r="B857" s="22"/>
      <c r="C857" s="22"/>
      <c r="D857" s="22"/>
      <c r="E857" s="22"/>
      <c r="F857" s="22"/>
      <c r="G857" s="22"/>
      <c r="H857" s="22"/>
      <c r="I857" s="22"/>
      <c r="J857" s="22"/>
      <c r="K857" s="22"/>
      <c r="L857" s="22"/>
      <c r="M857" s="22"/>
      <c r="N857" s="22"/>
      <c r="O857" s="22"/>
      <c r="P857" s="22"/>
      <c r="Q857" s="27"/>
      <c r="R857" s="22"/>
      <c r="S857" s="22"/>
      <c r="T857" s="22"/>
      <c r="U857" s="22"/>
      <c r="V857" s="22"/>
      <c r="W857" s="22"/>
      <c r="X857" s="22"/>
      <c r="Y857" s="22"/>
      <c r="Z857" s="22"/>
      <c r="AA857" s="22"/>
      <c r="AB857" s="22"/>
    </row>
    <row r="858" spans="1:28" x14ac:dyDescent="0.3">
      <c r="A858" s="22"/>
      <c r="B858" s="22"/>
      <c r="C858" s="22"/>
      <c r="D858" s="22"/>
      <c r="E858" s="22"/>
      <c r="F858" s="22"/>
      <c r="G858" s="22"/>
      <c r="H858" s="22"/>
      <c r="I858" s="22"/>
      <c r="J858" s="22"/>
      <c r="K858" s="22"/>
      <c r="L858" s="22"/>
      <c r="M858" s="22"/>
      <c r="N858" s="22"/>
      <c r="O858" s="22"/>
      <c r="P858" s="22"/>
      <c r="Q858" s="27"/>
      <c r="R858" s="22"/>
      <c r="S858" s="22"/>
      <c r="T858" s="22"/>
      <c r="U858" s="22"/>
      <c r="V858" s="22"/>
      <c r="W858" s="22"/>
      <c r="X858" s="22"/>
      <c r="Y858" s="22"/>
      <c r="Z858" s="22"/>
      <c r="AA858" s="22"/>
      <c r="AB858" s="22"/>
    </row>
    <row r="859" spans="1:28" x14ac:dyDescent="0.3">
      <c r="A859" s="22"/>
      <c r="B859" s="22"/>
      <c r="C859" s="22"/>
      <c r="D859" s="22"/>
      <c r="E859" s="22"/>
      <c r="F859" s="22"/>
      <c r="G859" s="22"/>
      <c r="H859" s="22"/>
      <c r="I859" s="22"/>
      <c r="J859" s="22"/>
      <c r="K859" s="22"/>
      <c r="L859" s="22"/>
      <c r="M859" s="22"/>
      <c r="N859" s="22"/>
      <c r="O859" s="22"/>
      <c r="P859" s="22"/>
      <c r="Q859" s="27"/>
      <c r="R859" s="22"/>
      <c r="S859" s="22"/>
      <c r="T859" s="22"/>
      <c r="U859" s="22"/>
      <c r="V859" s="22"/>
      <c r="W859" s="22"/>
      <c r="X859" s="22"/>
      <c r="Y859" s="22"/>
      <c r="Z859" s="22"/>
      <c r="AA859" s="22"/>
      <c r="AB859" s="22"/>
    </row>
    <row r="860" spans="1:28" x14ac:dyDescent="0.3">
      <c r="A860" s="22"/>
      <c r="B860" s="22"/>
      <c r="C860" s="22"/>
      <c r="D860" s="22"/>
      <c r="E860" s="22"/>
      <c r="F860" s="22"/>
      <c r="G860" s="22"/>
      <c r="H860" s="22"/>
      <c r="I860" s="22"/>
      <c r="J860" s="22"/>
      <c r="K860" s="22"/>
      <c r="L860" s="22"/>
      <c r="M860" s="22"/>
      <c r="N860" s="22"/>
      <c r="O860" s="22"/>
      <c r="P860" s="22"/>
      <c r="Q860" s="27"/>
      <c r="R860" s="22"/>
      <c r="S860" s="22"/>
      <c r="T860" s="22"/>
      <c r="U860" s="22"/>
      <c r="V860" s="22"/>
      <c r="W860" s="22"/>
      <c r="X860" s="22"/>
      <c r="Y860" s="22"/>
      <c r="Z860" s="22"/>
      <c r="AA860" s="22"/>
      <c r="AB860" s="22"/>
    </row>
    <row r="861" spans="1:28" x14ac:dyDescent="0.3">
      <c r="A861" s="22"/>
      <c r="B861" s="22"/>
      <c r="C861" s="22"/>
      <c r="D861" s="22"/>
      <c r="E861" s="22"/>
      <c r="F861" s="22"/>
      <c r="G861" s="22"/>
      <c r="H861" s="22"/>
      <c r="I861" s="22"/>
      <c r="J861" s="22"/>
      <c r="K861" s="22"/>
      <c r="L861" s="22"/>
      <c r="M861" s="22"/>
      <c r="N861" s="22"/>
      <c r="O861" s="22"/>
      <c r="P861" s="22"/>
      <c r="Q861" s="27"/>
      <c r="R861" s="22"/>
      <c r="S861" s="22"/>
      <c r="T861" s="22"/>
      <c r="U861" s="22"/>
      <c r="V861" s="22"/>
      <c r="W861" s="22"/>
      <c r="X861" s="22"/>
      <c r="Y861" s="22"/>
      <c r="Z861" s="22"/>
      <c r="AA861" s="22"/>
      <c r="AB861" s="22"/>
    </row>
    <row r="862" spans="1:28" x14ac:dyDescent="0.3">
      <c r="A862" s="22"/>
      <c r="B862" s="22"/>
      <c r="C862" s="22"/>
      <c r="D862" s="22"/>
      <c r="E862" s="22"/>
      <c r="F862" s="22"/>
      <c r="G862" s="22"/>
      <c r="H862" s="22"/>
      <c r="I862" s="22"/>
      <c r="J862" s="22"/>
      <c r="K862" s="22"/>
      <c r="L862" s="22"/>
      <c r="M862" s="22"/>
      <c r="N862" s="22"/>
      <c r="O862" s="22"/>
      <c r="P862" s="22"/>
      <c r="Q862" s="27"/>
      <c r="R862" s="22"/>
      <c r="S862" s="22"/>
      <c r="T862" s="22"/>
      <c r="U862" s="22"/>
      <c r="V862" s="22"/>
      <c r="W862" s="22"/>
      <c r="X862" s="22"/>
      <c r="Y862" s="22"/>
      <c r="Z862" s="22"/>
      <c r="AA862" s="22"/>
      <c r="AB862" s="22"/>
    </row>
    <row r="863" spans="1:28" x14ac:dyDescent="0.3">
      <c r="A863" s="22"/>
      <c r="B863" s="22"/>
      <c r="C863" s="22"/>
      <c r="D863" s="22"/>
      <c r="E863" s="22"/>
      <c r="F863" s="22"/>
      <c r="G863" s="22"/>
      <c r="H863" s="22"/>
      <c r="I863" s="22"/>
      <c r="J863" s="22"/>
      <c r="K863" s="22"/>
      <c r="L863" s="22"/>
      <c r="M863" s="22"/>
      <c r="N863" s="22"/>
      <c r="O863" s="22"/>
      <c r="P863" s="22"/>
      <c r="Q863" s="27"/>
      <c r="R863" s="22"/>
      <c r="S863" s="22"/>
      <c r="T863" s="22"/>
      <c r="U863" s="22"/>
      <c r="V863" s="22"/>
      <c r="W863" s="22"/>
      <c r="X863" s="22"/>
      <c r="Y863" s="22"/>
      <c r="Z863" s="22"/>
      <c r="AA863" s="22"/>
      <c r="AB863" s="22"/>
    </row>
    <row r="864" spans="1:28" x14ac:dyDescent="0.3">
      <c r="A864" s="22"/>
      <c r="B864" s="22"/>
      <c r="C864" s="22"/>
      <c r="D864" s="22"/>
      <c r="E864" s="22"/>
      <c r="F864" s="22"/>
      <c r="G864" s="22"/>
      <c r="H864" s="22"/>
      <c r="I864" s="22"/>
      <c r="J864" s="22"/>
      <c r="K864" s="22"/>
      <c r="L864" s="22"/>
      <c r="M864" s="22"/>
      <c r="N864" s="22"/>
      <c r="O864" s="22"/>
      <c r="P864" s="22"/>
      <c r="Q864" s="27"/>
      <c r="R864" s="22"/>
      <c r="S864" s="22"/>
      <c r="T864" s="22"/>
      <c r="U864" s="22"/>
      <c r="V864" s="22"/>
      <c r="W864" s="22"/>
      <c r="X864" s="22"/>
      <c r="Y864" s="22"/>
      <c r="Z864" s="22"/>
      <c r="AA864" s="22"/>
      <c r="AB864" s="22"/>
    </row>
    <row r="865" spans="1:28" x14ac:dyDescent="0.3">
      <c r="A865" s="22"/>
      <c r="B865" s="22"/>
      <c r="C865" s="22"/>
      <c r="D865" s="22"/>
      <c r="E865" s="22"/>
      <c r="F865" s="22"/>
      <c r="G865" s="22"/>
      <c r="H865" s="22"/>
      <c r="I865" s="22"/>
      <c r="J865" s="22"/>
      <c r="K865" s="22"/>
      <c r="L865" s="22"/>
      <c r="M865" s="22"/>
      <c r="N865" s="22"/>
      <c r="O865" s="22"/>
      <c r="P865" s="22"/>
      <c r="Q865" s="27"/>
      <c r="R865" s="22"/>
      <c r="S865" s="22"/>
      <c r="T865" s="22"/>
      <c r="U865" s="22"/>
      <c r="V865" s="22"/>
      <c r="W865" s="22"/>
      <c r="X865" s="22"/>
      <c r="Y865" s="22"/>
      <c r="Z865" s="22"/>
      <c r="AA865" s="22"/>
      <c r="AB865" s="22"/>
    </row>
    <row r="866" spans="1:28" x14ac:dyDescent="0.3">
      <c r="A866" s="22"/>
      <c r="B866" s="22"/>
      <c r="C866" s="22"/>
      <c r="D866" s="22"/>
      <c r="E866" s="22"/>
      <c r="F866" s="22"/>
      <c r="G866" s="22"/>
      <c r="H866" s="22"/>
      <c r="I866" s="22"/>
      <c r="J866" s="22"/>
      <c r="K866" s="22"/>
      <c r="L866" s="22"/>
      <c r="M866" s="22"/>
      <c r="N866" s="22"/>
      <c r="O866" s="22"/>
      <c r="P866" s="22"/>
      <c r="Q866" s="27"/>
      <c r="R866" s="22"/>
      <c r="S866" s="22"/>
      <c r="T866" s="22"/>
      <c r="U866" s="22"/>
      <c r="V866" s="22"/>
      <c r="W866" s="22"/>
      <c r="X866" s="22"/>
      <c r="Y866" s="22"/>
      <c r="Z866" s="22"/>
      <c r="AA866" s="22"/>
      <c r="AB866" s="22"/>
    </row>
    <row r="867" spans="1:28" x14ac:dyDescent="0.3">
      <c r="A867" s="22"/>
      <c r="B867" s="22"/>
      <c r="C867" s="22"/>
      <c r="D867" s="22"/>
      <c r="E867" s="22"/>
      <c r="F867" s="22"/>
      <c r="G867" s="22"/>
      <c r="H867" s="22"/>
      <c r="I867" s="22"/>
      <c r="J867" s="22"/>
      <c r="K867" s="22"/>
      <c r="L867" s="22"/>
      <c r="M867" s="22"/>
      <c r="N867" s="22"/>
      <c r="O867" s="22"/>
      <c r="P867" s="22"/>
      <c r="Q867" s="27"/>
      <c r="R867" s="22"/>
      <c r="S867" s="22"/>
      <c r="T867" s="22"/>
      <c r="U867" s="22"/>
      <c r="V867" s="22"/>
      <c r="W867" s="22"/>
      <c r="X867" s="22"/>
      <c r="Y867" s="22"/>
      <c r="Z867" s="22"/>
      <c r="AA867" s="22"/>
      <c r="AB867" s="22"/>
    </row>
    <row r="868" spans="1:28" x14ac:dyDescent="0.3">
      <c r="A868" s="22"/>
      <c r="B868" s="22"/>
      <c r="C868" s="22"/>
      <c r="D868" s="22"/>
      <c r="E868" s="22"/>
      <c r="F868" s="22"/>
      <c r="G868" s="22"/>
      <c r="H868" s="22"/>
      <c r="I868" s="22"/>
      <c r="J868" s="22"/>
      <c r="K868" s="22"/>
      <c r="L868" s="22"/>
      <c r="M868" s="22"/>
      <c r="N868" s="22"/>
      <c r="O868" s="22"/>
      <c r="P868" s="22"/>
      <c r="Q868" s="27"/>
      <c r="R868" s="22"/>
      <c r="S868" s="22"/>
      <c r="T868" s="22"/>
      <c r="U868" s="22"/>
      <c r="V868" s="22"/>
      <c r="W868" s="22"/>
      <c r="X868" s="22"/>
      <c r="Y868" s="22"/>
      <c r="Z868" s="22"/>
      <c r="AA868" s="22"/>
      <c r="AB868" s="22"/>
    </row>
    <row r="869" spans="1:28" x14ac:dyDescent="0.3">
      <c r="A869" s="22"/>
      <c r="B869" s="22"/>
      <c r="C869" s="22"/>
      <c r="D869" s="22"/>
      <c r="E869" s="22"/>
      <c r="F869" s="22"/>
      <c r="G869" s="22"/>
      <c r="H869" s="22"/>
      <c r="I869" s="22"/>
      <c r="J869" s="22"/>
      <c r="K869" s="22"/>
      <c r="L869" s="22"/>
      <c r="M869" s="22"/>
      <c r="N869" s="22"/>
      <c r="O869" s="22"/>
      <c r="P869" s="22"/>
      <c r="Q869" s="27"/>
      <c r="R869" s="22"/>
      <c r="S869" s="22"/>
      <c r="T869" s="22"/>
      <c r="U869" s="22"/>
      <c r="V869" s="22"/>
      <c r="W869" s="22"/>
      <c r="X869" s="22"/>
      <c r="Y869" s="22"/>
      <c r="Z869" s="22"/>
      <c r="AA869" s="22"/>
      <c r="AB869" s="22"/>
    </row>
    <row r="870" spans="1:28" x14ac:dyDescent="0.3">
      <c r="A870" s="22"/>
      <c r="B870" s="22"/>
      <c r="C870" s="22"/>
      <c r="D870" s="22"/>
      <c r="E870" s="22"/>
      <c r="F870" s="22"/>
      <c r="G870" s="22"/>
      <c r="H870" s="22"/>
      <c r="I870" s="22"/>
      <c r="J870" s="22"/>
      <c r="K870" s="22"/>
      <c r="L870" s="22"/>
      <c r="M870" s="22"/>
      <c r="N870" s="22"/>
      <c r="O870" s="22"/>
      <c r="P870" s="22"/>
      <c r="Q870" s="27"/>
      <c r="R870" s="22"/>
      <c r="S870" s="22"/>
      <c r="T870" s="22"/>
      <c r="U870" s="22"/>
      <c r="V870" s="22"/>
      <c r="W870" s="22"/>
      <c r="X870" s="22"/>
      <c r="Y870" s="22"/>
      <c r="Z870" s="22"/>
      <c r="AA870" s="22"/>
      <c r="AB870" s="22"/>
    </row>
    <row r="871" spans="1:28" x14ac:dyDescent="0.3">
      <c r="A871" s="22"/>
      <c r="B871" s="22"/>
      <c r="C871" s="22"/>
      <c r="D871" s="22"/>
      <c r="E871" s="22"/>
      <c r="F871" s="22"/>
      <c r="G871" s="22"/>
      <c r="H871" s="22"/>
      <c r="I871" s="22"/>
      <c r="J871" s="22"/>
      <c r="K871" s="22"/>
      <c r="L871" s="22"/>
      <c r="M871" s="22"/>
      <c r="N871" s="22"/>
      <c r="O871" s="22"/>
      <c r="P871" s="22"/>
      <c r="Q871" s="27"/>
      <c r="R871" s="22"/>
      <c r="S871" s="22"/>
      <c r="T871" s="22"/>
      <c r="U871" s="22"/>
      <c r="V871" s="22"/>
      <c r="W871" s="22"/>
      <c r="X871" s="22"/>
      <c r="Y871" s="22"/>
      <c r="Z871" s="22"/>
      <c r="AA871" s="22"/>
      <c r="AB871" s="22"/>
    </row>
    <row r="872" spans="1:28" x14ac:dyDescent="0.3">
      <c r="A872" s="22"/>
      <c r="B872" s="22"/>
      <c r="C872" s="22"/>
      <c r="D872" s="22"/>
      <c r="E872" s="22"/>
      <c r="F872" s="22"/>
      <c r="G872" s="22"/>
      <c r="H872" s="22"/>
      <c r="I872" s="22"/>
      <c r="J872" s="22"/>
      <c r="K872" s="22"/>
      <c r="L872" s="22"/>
      <c r="M872" s="22"/>
      <c r="N872" s="22"/>
      <c r="O872" s="22"/>
      <c r="P872" s="22"/>
      <c r="Q872" s="27"/>
      <c r="R872" s="22"/>
      <c r="S872" s="22"/>
      <c r="T872" s="22"/>
      <c r="U872" s="22"/>
      <c r="V872" s="22"/>
      <c r="W872" s="22"/>
      <c r="X872" s="22"/>
      <c r="Y872" s="22"/>
      <c r="Z872" s="22"/>
      <c r="AA872" s="22"/>
      <c r="AB872" s="22"/>
    </row>
    <row r="873" spans="1:28" x14ac:dyDescent="0.3">
      <c r="A873" s="22"/>
      <c r="B873" s="22"/>
      <c r="C873" s="22"/>
      <c r="D873" s="22"/>
      <c r="E873" s="22"/>
      <c r="F873" s="22"/>
      <c r="G873" s="22"/>
      <c r="H873" s="22"/>
      <c r="I873" s="22"/>
      <c r="J873" s="22"/>
      <c r="K873" s="22"/>
      <c r="L873" s="22"/>
      <c r="M873" s="22"/>
      <c r="N873" s="22"/>
      <c r="O873" s="22"/>
      <c r="P873" s="22"/>
      <c r="Q873" s="27"/>
      <c r="R873" s="22"/>
      <c r="S873" s="22"/>
      <c r="T873" s="22"/>
      <c r="U873" s="22"/>
      <c r="V873" s="22"/>
      <c r="W873" s="22"/>
      <c r="X873" s="22"/>
      <c r="Y873" s="22"/>
      <c r="Z873" s="22"/>
      <c r="AA873" s="22"/>
      <c r="AB873" s="22"/>
    </row>
    <row r="874" spans="1:28" x14ac:dyDescent="0.3">
      <c r="A874" s="22"/>
      <c r="B874" s="22"/>
      <c r="C874" s="22"/>
      <c r="D874" s="22"/>
      <c r="E874" s="22"/>
      <c r="F874" s="22"/>
      <c r="G874" s="22"/>
      <c r="H874" s="22"/>
      <c r="I874" s="22"/>
      <c r="J874" s="22"/>
      <c r="K874" s="22"/>
      <c r="L874" s="22"/>
      <c r="M874" s="22"/>
      <c r="N874" s="22"/>
      <c r="O874" s="22"/>
      <c r="P874" s="22"/>
      <c r="Q874" s="27"/>
      <c r="R874" s="22"/>
      <c r="S874" s="22"/>
      <c r="T874" s="22"/>
      <c r="U874" s="22"/>
      <c r="V874" s="22"/>
      <c r="W874" s="22"/>
      <c r="X874" s="22"/>
      <c r="Y874" s="22"/>
      <c r="Z874" s="22"/>
      <c r="AA874" s="22"/>
      <c r="AB874" s="22"/>
    </row>
    <row r="875" spans="1:28" x14ac:dyDescent="0.3">
      <c r="A875" s="22"/>
      <c r="B875" s="22"/>
      <c r="C875" s="22"/>
      <c r="D875" s="22"/>
      <c r="E875" s="22"/>
      <c r="F875" s="22"/>
      <c r="G875" s="22"/>
      <c r="H875" s="22"/>
      <c r="I875" s="22"/>
      <c r="J875" s="22"/>
      <c r="K875" s="22"/>
      <c r="L875" s="22"/>
      <c r="M875" s="22"/>
      <c r="N875" s="22"/>
      <c r="O875" s="22"/>
      <c r="P875" s="22"/>
      <c r="Q875" s="27"/>
      <c r="R875" s="22"/>
      <c r="S875" s="22"/>
      <c r="T875" s="22"/>
      <c r="U875" s="22"/>
      <c r="V875" s="22"/>
      <c r="W875" s="22"/>
      <c r="X875" s="22"/>
      <c r="Y875" s="22"/>
      <c r="Z875" s="22"/>
      <c r="AA875" s="22"/>
      <c r="AB875" s="22"/>
    </row>
    <row r="876" spans="1:28" x14ac:dyDescent="0.3">
      <c r="A876" s="22"/>
      <c r="B876" s="22"/>
      <c r="C876" s="22"/>
      <c r="D876" s="22"/>
      <c r="E876" s="22"/>
      <c r="F876" s="22"/>
      <c r="G876" s="22"/>
      <c r="H876" s="22"/>
      <c r="I876" s="22"/>
      <c r="J876" s="22"/>
      <c r="K876" s="22"/>
      <c r="L876" s="22"/>
      <c r="M876" s="22"/>
      <c r="N876" s="22"/>
      <c r="O876" s="22"/>
      <c r="P876" s="22"/>
      <c r="Q876" s="27"/>
      <c r="R876" s="22"/>
      <c r="S876" s="22"/>
      <c r="T876" s="22"/>
      <c r="U876" s="22"/>
      <c r="V876" s="22"/>
      <c r="W876" s="22"/>
      <c r="X876" s="22"/>
      <c r="Y876" s="22"/>
      <c r="Z876" s="22"/>
      <c r="AA876" s="22"/>
      <c r="AB876" s="22"/>
    </row>
    <row r="877" spans="1:28" x14ac:dyDescent="0.3">
      <c r="A877" s="22"/>
      <c r="B877" s="22"/>
      <c r="C877" s="22"/>
      <c r="D877" s="22"/>
      <c r="E877" s="22"/>
      <c r="F877" s="22"/>
      <c r="G877" s="22"/>
      <c r="H877" s="22"/>
      <c r="I877" s="22"/>
      <c r="J877" s="22"/>
      <c r="K877" s="22"/>
      <c r="L877" s="22"/>
      <c r="M877" s="22"/>
      <c r="N877" s="22"/>
      <c r="O877" s="22"/>
      <c r="P877" s="22"/>
      <c r="Q877" s="27"/>
      <c r="R877" s="22"/>
      <c r="S877" s="22"/>
      <c r="T877" s="22"/>
      <c r="U877" s="22"/>
      <c r="V877" s="22"/>
      <c r="W877" s="22"/>
      <c r="X877" s="22"/>
      <c r="Y877" s="22"/>
      <c r="Z877" s="22"/>
      <c r="AA877" s="22"/>
      <c r="AB877" s="22"/>
    </row>
    <row r="878" spans="1:28" x14ac:dyDescent="0.3">
      <c r="A878" s="22"/>
      <c r="B878" s="22"/>
      <c r="C878" s="22"/>
      <c r="D878" s="22"/>
      <c r="E878" s="22"/>
      <c r="F878" s="22"/>
      <c r="G878" s="22"/>
      <c r="H878" s="22"/>
      <c r="I878" s="22"/>
      <c r="J878" s="22"/>
      <c r="K878" s="22"/>
      <c r="L878" s="22"/>
      <c r="M878" s="22"/>
      <c r="N878" s="22"/>
      <c r="O878" s="22"/>
      <c r="P878" s="22"/>
      <c r="Q878" s="27"/>
      <c r="R878" s="22"/>
      <c r="S878" s="22"/>
      <c r="T878" s="22"/>
      <c r="U878" s="22"/>
      <c r="V878" s="22"/>
      <c r="W878" s="22"/>
      <c r="X878" s="22"/>
      <c r="Y878" s="22"/>
      <c r="Z878" s="22"/>
      <c r="AA878" s="22"/>
      <c r="AB878" s="22"/>
    </row>
    <row r="879" spans="1:28" x14ac:dyDescent="0.3">
      <c r="A879" s="22"/>
      <c r="B879" s="22"/>
      <c r="C879" s="22"/>
      <c r="D879" s="22"/>
      <c r="E879" s="22"/>
      <c r="F879" s="22"/>
      <c r="G879" s="22"/>
      <c r="H879" s="22"/>
      <c r="I879" s="22"/>
      <c r="J879" s="22"/>
      <c r="K879" s="22"/>
      <c r="L879" s="22"/>
      <c r="M879" s="22"/>
      <c r="N879" s="22"/>
      <c r="O879" s="22"/>
      <c r="P879" s="22"/>
      <c r="Q879" s="27"/>
      <c r="R879" s="22"/>
      <c r="S879" s="22"/>
      <c r="T879" s="22"/>
      <c r="U879" s="22"/>
      <c r="V879" s="22"/>
      <c r="W879" s="22"/>
      <c r="X879" s="22"/>
      <c r="Y879" s="22"/>
      <c r="Z879" s="22"/>
      <c r="AA879" s="22"/>
      <c r="AB879" s="22"/>
    </row>
    <row r="880" spans="1:28" x14ac:dyDescent="0.3">
      <c r="A880" s="22"/>
      <c r="B880" s="22"/>
      <c r="C880" s="22"/>
      <c r="D880" s="22"/>
      <c r="E880" s="22"/>
      <c r="F880" s="22"/>
      <c r="G880" s="22"/>
      <c r="H880" s="22"/>
      <c r="I880" s="22"/>
      <c r="J880" s="22"/>
      <c r="K880" s="22"/>
      <c r="L880" s="22"/>
      <c r="M880" s="22"/>
      <c r="N880" s="22"/>
      <c r="O880" s="22"/>
      <c r="P880" s="22"/>
      <c r="Q880" s="27"/>
      <c r="R880" s="22"/>
      <c r="S880" s="22"/>
      <c r="T880" s="22"/>
      <c r="U880" s="22"/>
      <c r="V880" s="22"/>
      <c r="W880" s="22"/>
      <c r="X880" s="22"/>
      <c r="Y880" s="22"/>
      <c r="Z880" s="22"/>
      <c r="AA880" s="22"/>
      <c r="AB880" s="22"/>
    </row>
    <row r="881" spans="1:28" x14ac:dyDescent="0.3">
      <c r="A881" s="22"/>
      <c r="B881" s="22"/>
      <c r="C881" s="22"/>
      <c r="D881" s="22"/>
      <c r="E881" s="22"/>
      <c r="F881" s="22"/>
      <c r="G881" s="22"/>
      <c r="H881" s="22"/>
      <c r="I881" s="22"/>
      <c r="J881" s="22"/>
      <c r="K881" s="22"/>
      <c r="L881" s="22"/>
      <c r="M881" s="22"/>
      <c r="N881" s="22"/>
      <c r="O881" s="22"/>
      <c r="P881" s="22"/>
      <c r="Q881" s="27"/>
      <c r="R881" s="22"/>
      <c r="S881" s="22"/>
      <c r="T881" s="22"/>
      <c r="U881" s="22"/>
      <c r="V881" s="22"/>
      <c r="W881" s="22"/>
      <c r="X881" s="22"/>
      <c r="Y881" s="22"/>
      <c r="Z881" s="22"/>
      <c r="AA881" s="22"/>
      <c r="AB881" s="22"/>
    </row>
    <row r="882" spans="1:28" x14ac:dyDescent="0.3">
      <c r="A882" s="22"/>
      <c r="B882" s="22"/>
      <c r="C882" s="22"/>
      <c r="D882" s="22"/>
      <c r="E882" s="22"/>
      <c r="F882" s="22"/>
      <c r="G882" s="22"/>
      <c r="H882" s="22"/>
      <c r="I882" s="22"/>
      <c r="J882" s="22"/>
      <c r="K882" s="22"/>
      <c r="L882" s="22"/>
      <c r="M882" s="22"/>
      <c r="N882" s="22"/>
      <c r="O882" s="22"/>
      <c r="P882" s="22"/>
      <c r="Q882" s="27"/>
      <c r="R882" s="22"/>
      <c r="S882" s="22"/>
      <c r="T882" s="22"/>
      <c r="U882" s="22"/>
      <c r="V882" s="22"/>
      <c r="W882" s="22"/>
      <c r="X882" s="22"/>
      <c r="Y882" s="22"/>
      <c r="Z882" s="22"/>
      <c r="AA882" s="22"/>
      <c r="AB882" s="22"/>
    </row>
    <row r="883" spans="1:28" x14ac:dyDescent="0.3">
      <c r="A883" s="22"/>
      <c r="B883" s="22"/>
      <c r="C883" s="22"/>
      <c r="D883" s="22"/>
      <c r="E883" s="22"/>
      <c r="F883" s="22"/>
      <c r="G883" s="22"/>
      <c r="H883" s="22"/>
      <c r="I883" s="22"/>
      <c r="J883" s="22"/>
      <c r="K883" s="22"/>
      <c r="L883" s="22"/>
      <c r="M883" s="22"/>
      <c r="N883" s="22"/>
      <c r="O883" s="22"/>
      <c r="P883" s="22"/>
      <c r="Q883" s="27"/>
      <c r="R883" s="22"/>
      <c r="S883" s="22"/>
      <c r="T883" s="22"/>
      <c r="U883" s="22"/>
      <c r="V883" s="22"/>
      <c r="W883" s="22"/>
      <c r="X883" s="22"/>
      <c r="Y883" s="22"/>
      <c r="Z883" s="22"/>
      <c r="AA883" s="22"/>
      <c r="AB883" s="22"/>
    </row>
    <row r="884" spans="1:28" x14ac:dyDescent="0.3">
      <c r="A884" s="22"/>
      <c r="B884" s="22"/>
      <c r="C884" s="22"/>
      <c r="D884" s="22"/>
      <c r="E884" s="22"/>
      <c r="F884" s="22"/>
      <c r="G884" s="22"/>
      <c r="H884" s="22"/>
      <c r="I884" s="22"/>
      <c r="J884" s="22"/>
      <c r="K884" s="22"/>
      <c r="L884" s="22"/>
      <c r="M884" s="22"/>
      <c r="N884" s="22"/>
      <c r="O884" s="22"/>
      <c r="P884" s="22"/>
      <c r="Q884" s="27"/>
      <c r="R884" s="22"/>
      <c r="S884" s="22"/>
      <c r="T884" s="22"/>
      <c r="U884" s="22"/>
      <c r="V884" s="22"/>
      <c r="W884" s="22"/>
      <c r="X884" s="22"/>
      <c r="Y884" s="22"/>
      <c r="Z884" s="22"/>
      <c r="AA884" s="22"/>
      <c r="AB884" s="22"/>
    </row>
    <row r="885" spans="1:28" x14ac:dyDescent="0.3">
      <c r="A885" s="22"/>
      <c r="B885" s="22"/>
      <c r="C885" s="22"/>
      <c r="D885" s="22"/>
      <c r="E885" s="22"/>
      <c r="F885" s="22"/>
      <c r="G885" s="22"/>
      <c r="H885" s="22"/>
      <c r="I885" s="22"/>
      <c r="J885" s="22"/>
      <c r="K885" s="22"/>
      <c r="L885" s="22"/>
      <c r="M885" s="22"/>
      <c r="N885" s="22"/>
      <c r="O885" s="22"/>
      <c r="P885" s="22"/>
      <c r="Q885" s="27"/>
      <c r="R885" s="22"/>
      <c r="S885" s="22"/>
      <c r="T885" s="22"/>
      <c r="U885" s="22"/>
      <c r="V885" s="22"/>
      <c r="W885" s="22"/>
      <c r="X885" s="22"/>
      <c r="Y885" s="22"/>
      <c r="Z885" s="22"/>
      <c r="AA885" s="22"/>
      <c r="AB885" s="22"/>
    </row>
    <row r="886" spans="1:28" x14ac:dyDescent="0.3">
      <c r="A886" s="22"/>
      <c r="B886" s="22"/>
      <c r="C886" s="22"/>
      <c r="D886" s="22"/>
      <c r="E886" s="22"/>
      <c r="F886" s="22"/>
      <c r="G886" s="22"/>
      <c r="H886" s="22"/>
      <c r="I886" s="22"/>
      <c r="J886" s="22"/>
      <c r="K886" s="22"/>
      <c r="L886" s="22"/>
      <c r="M886" s="22"/>
      <c r="N886" s="22"/>
      <c r="O886" s="22"/>
      <c r="P886" s="22"/>
      <c r="Q886" s="27"/>
      <c r="R886" s="22"/>
      <c r="S886" s="22"/>
      <c r="T886" s="22"/>
      <c r="U886" s="22"/>
      <c r="V886" s="22"/>
      <c r="W886" s="22"/>
      <c r="X886" s="22"/>
      <c r="Y886" s="22"/>
      <c r="Z886" s="22"/>
      <c r="AA886" s="22"/>
      <c r="AB886" s="22"/>
    </row>
    <row r="887" spans="1:28" x14ac:dyDescent="0.3">
      <c r="A887" s="22"/>
      <c r="B887" s="22"/>
      <c r="C887" s="22"/>
      <c r="D887" s="22"/>
      <c r="E887" s="22"/>
      <c r="F887" s="22"/>
      <c r="G887" s="22"/>
      <c r="H887" s="22"/>
      <c r="I887" s="22"/>
      <c r="J887" s="22"/>
      <c r="K887" s="22"/>
      <c r="L887" s="22"/>
      <c r="M887" s="22"/>
      <c r="N887" s="22"/>
      <c r="O887" s="22"/>
      <c r="P887" s="22"/>
      <c r="Q887" s="27"/>
      <c r="R887" s="22"/>
      <c r="S887" s="22"/>
      <c r="T887" s="22"/>
      <c r="U887" s="22"/>
      <c r="V887" s="22"/>
      <c r="W887" s="22"/>
      <c r="X887" s="22"/>
      <c r="Y887" s="22"/>
      <c r="Z887" s="22"/>
      <c r="AA887" s="22"/>
      <c r="AB887" s="22"/>
    </row>
    <row r="888" spans="1:28" x14ac:dyDescent="0.3">
      <c r="A888" s="22"/>
      <c r="B888" s="22"/>
      <c r="C888" s="22"/>
      <c r="D888" s="22"/>
      <c r="E888" s="22"/>
      <c r="F888" s="22"/>
      <c r="G888" s="22"/>
      <c r="H888" s="22"/>
      <c r="I888" s="22"/>
      <c r="J888" s="22"/>
      <c r="K888" s="22"/>
      <c r="L888" s="22"/>
      <c r="M888" s="22"/>
      <c r="N888" s="22"/>
      <c r="O888" s="22"/>
      <c r="P888" s="22"/>
      <c r="Q888" s="27"/>
      <c r="R888" s="22"/>
      <c r="S888" s="22"/>
      <c r="T888" s="22"/>
      <c r="U888" s="22"/>
      <c r="V888" s="22"/>
      <c r="W888" s="22"/>
      <c r="X888" s="22"/>
      <c r="Y888" s="22"/>
      <c r="Z888" s="22"/>
      <c r="AA888" s="22"/>
      <c r="AB888" s="22"/>
    </row>
    <row r="889" spans="1:28" x14ac:dyDescent="0.3">
      <c r="A889" s="22"/>
      <c r="B889" s="22"/>
      <c r="C889" s="22"/>
      <c r="D889" s="22"/>
      <c r="E889" s="22"/>
      <c r="F889" s="22"/>
      <c r="G889" s="22"/>
      <c r="H889" s="22"/>
      <c r="I889" s="22"/>
      <c r="J889" s="22"/>
      <c r="K889" s="22"/>
      <c r="L889" s="22"/>
      <c r="M889" s="22"/>
      <c r="N889" s="22"/>
      <c r="O889" s="22"/>
      <c r="P889" s="22"/>
      <c r="Q889" s="27"/>
      <c r="R889" s="22"/>
      <c r="S889" s="22"/>
      <c r="T889" s="22"/>
      <c r="U889" s="22"/>
      <c r="V889" s="22"/>
      <c r="W889" s="22"/>
      <c r="X889" s="22"/>
      <c r="Y889" s="22"/>
      <c r="Z889" s="22"/>
      <c r="AA889" s="22"/>
      <c r="AB889" s="22"/>
    </row>
    <row r="890" spans="1:28" x14ac:dyDescent="0.3">
      <c r="A890" s="22"/>
      <c r="B890" s="22"/>
      <c r="C890" s="22"/>
      <c r="D890" s="22"/>
      <c r="E890" s="22"/>
      <c r="F890" s="22"/>
      <c r="G890" s="22"/>
      <c r="H890" s="22"/>
      <c r="I890" s="22"/>
      <c r="J890" s="22"/>
      <c r="K890" s="22"/>
      <c r="L890" s="22"/>
      <c r="M890" s="22"/>
      <c r="N890" s="22"/>
      <c r="O890" s="22"/>
      <c r="P890" s="22"/>
      <c r="Q890" s="27"/>
      <c r="R890" s="22"/>
      <c r="S890" s="22"/>
      <c r="T890" s="22"/>
      <c r="U890" s="22"/>
      <c r="V890" s="22"/>
      <c r="W890" s="22"/>
      <c r="X890" s="22"/>
      <c r="Y890" s="22"/>
      <c r="Z890" s="22"/>
      <c r="AA890" s="22"/>
      <c r="AB890" s="22"/>
    </row>
    <row r="891" spans="1:28" x14ac:dyDescent="0.3">
      <c r="A891" s="22"/>
      <c r="B891" s="22"/>
      <c r="C891" s="22"/>
      <c r="D891" s="22"/>
      <c r="E891" s="22"/>
      <c r="F891" s="22"/>
      <c r="G891" s="22"/>
      <c r="H891" s="22"/>
      <c r="I891" s="22"/>
      <c r="J891" s="22"/>
      <c r="K891" s="22"/>
      <c r="L891" s="22"/>
      <c r="M891" s="22"/>
      <c r="N891" s="22"/>
      <c r="O891" s="22"/>
      <c r="P891" s="22"/>
      <c r="Q891" s="27"/>
      <c r="R891" s="22"/>
      <c r="S891" s="22"/>
      <c r="T891" s="22"/>
      <c r="U891" s="22"/>
      <c r="V891" s="22"/>
      <c r="W891" s="22"/>
      <c r="X891" s="22"/>
      <c r="Y891" s="22"/>
      <c r="Z891" s="22"/>
      <c r="AA891" s="22"/>
      <c r="AB891" s="22"/>
    </row>
    <row r="892" spans="1:28" x14ac:dyDescent="0.3">
      <c r="A892" s="22"/>
      <c r="B892" s="22"/>
      <c r="C892" s="22"/>
      <c r="D892" s="22"/>
      <c r="E892" s="22"/>
      <c r="F892" s="22"/>
      <c r="G892" s="22"/>
      <c r="H892" s="22"/>
      <c r="I892" s="22"/>
      <c r="J892" s="22"/>
      <c r="K892" s="22"/>
      <c r="L892" s="22"/>
      <c r="M892" s="22"/>
      <c r="N892" s="22"/>
      <c r="O892" s="22"/>
      <c r="P892" s="22"/>
      <c r="Q892" s="27"/>
      <c r="R892" s="22"/>
      <c r="S892" s="22"/>
      <c r="T892" s="22"/>
      <c r="U892" s="22"/>
      <c r="V892" s="22"/>
      <c r="W892" s="22"/>
      <c r="X892" s="22"/>
      <c r="Y892" s="22"/>
      <c r="Z892" s="22"/>
      <c r="AA892" s="22"/>
      <c r="AB892" s="22"/>
    </row>
    <row r="893" spans="1:28" x14ac:dyDescent="0.3">
      <c r="A893" s="22"/>
      <c r="B893" s="22"/>
      <c r="C893" s="22"/>
      <c r="D893" s="22"/>
      <c r="E893" s="22"/>
      <c r="F893" s="22"/>
      <c r="G893" s="22"/>
      <c r="H893" s="22"/>
      <c r="I893" s="22"/>
      <c r="J893" s="22"/>
      <c r="K893" s="22"/>
      <c r="L893" s="22"/>
      <c r="M893" s="22"/>
      <c r="N893" s="22"/>
      <c r="O893" s="22"/>
      <c r="P893" s="22"/>
      <c r="Q893" s="27"/>
      <c r="R893" s="22"/>
      <c r="S893" s="22"/>
      <c r="T893" s="22"/>
      <c r="U893" s="22"/>
      <c r="V893" s="22"/>
      <c r="W893" s="22"/>
      <c r="X893" s="22"/>
      <c r="Y893" s="22"/>
      <c r="Z893" s="22"/>
      <c r="AA893" s="22"/>
      <c r="AB893" s="22"/>
    </row>
    <row r="894" spans="1:28" x14ac:dyDescent="0.3">
      <c r="A894" s="22"/>
      <c r="B894" s="22"/>
      <c r="C894" s="22"/>
      <c r="D894" s="22"/>
      <c r="E894" s="22"/>
      <c r="F894" s="22"/>
      <c r="G894" s="22"/>
      <c r="H894" s="22"/>
      <c r="I894" s="22"/>
      <c r="J894" s="22"/>
      <c r="K894" s="22"/>
      <c r="L894" s="22"/>
      <c r="M894" s="22"/>
      <c r="N894" s="22"/>
      <c r="O894" s="22"/>
      <c r="P894" s="22"/>
      <c r="Q894" s="27"/>
      <c r="R894" s="22"/>
      <c r="S894" s="22"/>
      <c r="T894" s="22"/>
      <c r="U894" s="22"/>
      <c r="V894" s="22"/>
      <c r="W894" s="22"/>
      <c r="X894" s="22"/>
      <c r="Y894" s="22"/>
      <c r="Z894" s="22"/>
      <c r="AA894" s="22"/>
      <c r="AB894" s="22"/>
    </row>
    <row r="895" spans="1:28" x14ac:dyDescent="0.3">
      <c r="A895" s="22"/>
      <c r="B895" s="22"/>
      <c r="C895" s="22"/>
      <c r="D895" s="22"/>
      <c r="E895" s="22"/>
      <c r="F895" s="22"/>
      <c r="G895" s="22"/>
      <c r="H895" s="22"/>
      <c r="I895" s="22"/>
      <c r="J895" s="22"/>
      <c r="K895" s="22"/>
      <c r="L895" s="22"/>
      <c r="M895" s="22"/>
      <c r="N895" s="22"/>
      <c r="O895" s="22"/>
      <c r="P895" s="22"/>
      <c r="Q895" s="27"/>
      <c r="R895" s="22"/>
      <c r="S895" s="22"/>
      <c r="T895" s="22"/>
      <c r="U895" s="22"/>
      <c r="V895" s="22"/>
      <c r="W895" s="22"/>
      <c r="X895" s="22"/>
      <c r="Y895" s="22"/>
      <c r="Z895" s="22"/>
      <c r="AA895" s="22"/>
      <c r="AB895" s="22"/>
    </row>
    <row r="896" spans="1:28" x14ac:dyDescent="0.3">
      <c r="A896" s="22"/>
      <c r="B896" s="22"/>
      <c r="C896" s="22"/>
      <c r="D896" s="22"/>
      <c r="E896" s="22"/>
      <c r="F896" s="22"/>
      <c r="G896" s="22"/>
      <c r="H896" s="22"/>
      <c r="I896" s="22"/>
      <c r="J896" s="22"/>
      <c r="K896" s="22"/>
      <c r="L896" s="22"/>
      <c r="M896" s="22"/>
      <c r="N896" s="22"/>
      <c r="O896" s="22"/>
      <c r="P896" s="22"/>
      <c r="Q896" s="27"/>
      <c r="R896" s="22"/>
      <c r="S896" s="22"/>
      <c r="T896" s="22"/>
      <c r="U896" s="22"/>
      <c r="V896" s="22"/>
      <c r="W896" s="22"/>
      <c r="X896" s="22"/>
      <c r="Y896" s="22"/>
      <c r="Z896" s="22"/>
      <c r="AA896" s="22"/>
      <c r="AB896" s="22"/>
    </row>
    <row r="897" spans="1:28" x14ac:dyDescent="0.3">
      <c r="A897" s="22"/>
      <c r="B897" s="22"/>
      <c r="C897" s="22"/>
      <c r="D897" s="22"/>
      <c r="E897" s="22"/>
      <c r="F897" s="22"/>
      <c r="G897" s="22"/>
      <c r="H897" s="22"/>
      <c r="I897" s="22"/>
      <c r="J897" s="22"/>
      <c r="K897" s="22"/>
      <c r="L897" s="22"/>
      <c r="M897" s="22"/>
      <c r="N897" s="22"/>
      <c r="O897" s="22"/>
      <c r="P897" s="22"/>
      <c r="Q897" s="27"/>
      <c r="R897" s="22"/>
      <c r="S897" s="22"/>
      <c r="T897" s="22"/>
      <c r="U897" s="22"/>
      <c r="V897" s="22"/>
      <c r="W897" s="22"/>
      <c r="X897" s="22"/>
      <c r="Y897" s="22"/>
      <c r="Z897" s="22"/>
      <c r="AA897" s="22"/>
      <c r="AB897" s="22"/>
    </row>
    <row r="898" spans="1:28" x14ac:dyDescent="0.3">
      <c r="A898" s="22"/>
      <c r="B898" s="22"/>
      <c r="C898" s="22"/>
      <c r="D898" s="22"/>
      <c r="E898" s="22"/>
      <c r="F898" s="22"/>
      <c r="G898" s="22"/>
      <c r="H898" s="22"/>
      <c r="I898" s="22"/>
      <c r="J898" s="22"/>
      <c r="K898" s="22"/>
      <c r="L898" s="22"/>
      <c r="M898" s="22"/>
      <c r="N898" s="22"/>
      <c r="O898" s="22"/>
      <c r="P898" s="22"/>
      <c r="Q898" s="27"/>
      <c r="R898" s="22"/>
      <c r="S898" s="22"/>
      <c r="T898" s="22"/>
      <c r="U898" s="22"/>
      <c r="V898" s="22"/>
      <c r="W898" s="22"/>
      <c r="X898" s="22"/>
      <c r="Y898" s="22"/>
      <c r="Z898" s="22"/>
      <c r="AA898" s="22"/>
      <c r="AB898" s="22"/>
    </row>
    <row r="899" spans="1:28" x14ac:dyDescent="0.3">
      <c r="A899" s="22"/>
      <c r="B899" s="22"/>
      <c r="C899" s="22"/>
      <c r="D899" s="22"/>
      <c r="E899" s="22"/>
      <c r="F899" s="22"/>
      <c r="G899" s="22"/>
      <c r="H899" s="22"/>
      <c r="I899" s="22"/>
      <c r="J899" s="22"/>
      <c r="K899" s="22"/>
      <c r="L899" s="22"/>
      <c r="M899" s="22"/>
      <c r="N899" s="22"/>
      <c r="O899" s="22"/>
      <c r="P899" s="22"/>
      <c r="Q899" s="27"/>
      <c r="R899" s="22"/>
      <c r="S899" s="22"/>
      <c r="T899" s="22"/>
      <c r="U899" s="22"/>
      <c r="V899" s="22"/>
      <c r="W899" s="22"/>
      <c r="X899" s="22"/>
      <c r="Y899" s="22"/>
      <c r="Z899" s="22"/>
      <c r="AA899" s="22"/>
      <c r="AB899" s="22"/>
    </row>
    <row r="900" spans="1:28" x14ac:dyDescent="0.3">
      <c r="A900" s="22"/>
      <c r="B900" s="22"/>
      <c r="C900" s="22"/>
      <c r="D900" s="22"/>
      <c r="E900" s="22"/>
      <c r="F900" s="22"/>
      <c r="G900" s="22"/>
      <c r="H900" s="22"/>
      <c r="I900" s="22"/>
      <c r="J900" s="22"/>
      <c r="K900" s="22"/>
      <c r="L900" s="22"/>
      <c r="M900" s="22"/>
      <c r="N900" s="22"/>
      <c r="O900" s="22"/>
      <c r="P900" s="22"/>
      <c r="Q900" s="27"/>
      <c r="R900" s="22"/>
      <c r="S900" s="22"/>
      <c r="T900" s="22"/>
      <c r="U900" s="22"/>
      <c r="V900" s="22"/>
      <c r="W900" s="22"/>
      <c r="X900" s="22"/>
      <c r="Y900" s="22"/>
      <c r="Z900" s="22"/>
      <c r="AA900" s="22"/>
      <c r="AB900" s="22"/>
    </row>
    <row r="901" spans="1:28" x14ac:dyDescent="0.3">
      <c r="A901" s="22"/>
      <c r="B901" s="22"/>
      <c r="C901" s="22"/>
      <c r="D901" s="22"/>
      <c r="E901" s="22"/>
      <c r="F901" s="22"/>
      <c r="G901" s="22"/>
      <c r="H901" s="22"/>
      <c r="I901" s="22"/>
      <c r="J901" s="22"/>
      <c r="K901" s="22"/>
      <c r="L901" s="22"/>
      <c r="M901" s="22"/>
      <c r="N901" s="22"/>
      <c r="O901" s="22"/>
      <c r="P901" s="22"/>
      <c r="Q901" s="27"/>
      <c r="R901" s="22"/>
      <c r="S901" s="22"/>
      <c r="T901" s="22"/>
      <c r="U901" s="22"/>
      <c r="V901" s="22"/>
      <c r="W901" s="22"/>
      <c r="X901" s="22"/>
      <c r="Y901" s="22"/>
      <c r="Z901" s="22"/>
      <c r="AA901" s="22"/>
      <c r="AB901" s="22"/>
    </row>
    <row r="902" spans="1:28" x14ac:dyDescent="0.3">
      <c r="A902" s="22"/>
      <c r="B902" s="22"/>
      <c r="C902" s="22"/>
      <c r="D902" s="22"/>
      <c r="E902" s="22"/>
      <c r="F902" s="22"/>
      <c r="G902" s="22"/>
      <c r="H902" s="22"/>
      <c r="I902" s="22"/>
      <c r="J902" s="22"/>
      <c r="K902" s="22"/>
      <c r="L902" s="22"/>
      <c r="M902" s="22"/>
      <c r="N902" s="22"/>
      <c r="O902" s="22"/>
      <c r="P902" s="22"/>
      <c r="Q902" s="27"/>
      <c r="R902" s="22"/>
      <c r="S902" s="22"/>
      <c r="T902" s="22"/>
      <c r="U902" s="22"/>
      <c r="V902" s="22"/>
      <c r="W902" s="22"/>
      <c r="X902" s="22"/>
      <c r="Y902" s="22"/>
      <c r="Z902" s="22"/>
      <c r="AA902" s="22"/>
      <c r="AB902" s="22"/>
    </row>
    <row r="903" spans="1:28" x14ac:dyDescent="0.3">
      <c r="A903" s="22"/>
      <c r="B903" s="22"/>
      <c r="C903" s="22"/>
      <c r="D903" s="22"/>
      <c r="E903" s="22"/>
      <c r="F903" s="22"/>
      <c r="G903" s="22"/>
      <c r="H903" s="22"/>
      <c r="I903" s="22"/>
      <c r="J903" s="22"/>
      <c r="K903" s="22"/>
      <c r="L903" s="22"/>
      <c r="M903" s="22"/>
      <c r="N903" s="22"/>
      <c r="O903" s="22"/>
      <c r="P903" s="22"/>
      <c r="Q903" s="27"/>
      <c r="R903" s="22"/>
      <c r="S903" s="22"/>
      <c r="T903" s="22"/>
      <c r="U903" s="22"/>
      <c r="V903" s="22"/>
      <c r="W903" s="22"/>
      <c r="X903" s="22"/>
      <c r="Y903" s="22"/>
      <c r="Z903" s="22"/>
      <c r="AA903" s="22"/>
      <c r="AB903" s="22"/>
    </row>
    <row r="904" spans="1:28" x14ac:dyDescent="0.3">
      <c r="A904" s="22"/>
      <c r="B904" s="22"/>
      <c r="C904" s="22"/>
      <c r="D904" s="22"/>
      <c r="E904" s="22"/>
      <c r="F904" s="22"/>
      <c r="G904" s="22"/>
      <c r="H904" s="22"/>
      <c r="I904" s="22"/>
      <c r="J904" s="22"/>
      <c r="K904" s="22"/>
      <c r="L904" s="22"/>
      <c r="M904" s="22"/>
      <c r="N904" s="22"/>
      <c r="O904" s="22"/>
      <c r="P904" s="22"/>
      <c r="Q904" s="27"/>
      <c r="R904" s="22"/>
      <c r="S904" s="22"/>
      <c r="T904" s="22"/>
      <c r="U904" s="22"/>
      <c r="V904" s="22"/>
      <c r="W904" s="22"/>
      <c r="X904" s="22"/>
      <c r="Y904" s="22"/>
      <c r="Z904" s="22"/>
      <c r="AA904" s="22"/>
      <c r="AB904" s="22"/>
    </row>
    <row r="905" spans="1:28" x14ac:dyDescent="0.3">
      <c r="A905" s="22"/>
      <c r="B905" s="22"/>
      <c r="C905" s="22"/>
      <c r="D905" s="22"/>
      <c r="E905" s="22"/>
      <c r="F905" s="22"/>
      <c r="G905" s="22"/>
      <c r="H905" s="22"/>
      <c r="I905" s="22"/>
      <c r="J905" s="22"/>
      <c r="K905" s="22"/>
      <c r="L905" s="22"/>
      <c r="M905" s="22"/>
      <c r="N905" s="22"/>
      <c r="O905" s="22"/>
      <c r="P905" s="22"/>
      <c r="Q905" s="27"/>
      <c r="R905" s="22"/>
      <c r="S905" s="22"/>
      <c r="T905" s="22"/>
      <c r="U905" s="22"/>
      <c r="V905" s="22"/>
      <c r="W905" s="22"/>
      <c r="X905" s="22"/>
      <c r="Y905" s="22"/>
      <c r="Z905" s="22"/>
      <c r="AA905" s="22"/>
      <c r="AB905" s="22"/>
    </row>
    <row r="906" spans="1:28" x14ac:dyDescent="0.3">
      <c r="A906" s="22"/>
      <c r="B906" s="22"/>
      <c r="C906" s="22"/>
      <c r="D906" s="22"/>
      <c r="E906" s="22"/>
      <c r="F906" s="22"/>
      <c r="G906" s="22"/>
      <c r="H906" s="22"/>
      <c r="I906" s="22"/>
      <c r="J906" s="22"/>
      <c r="K906" s="22"/>
      <c r="L906" s="22"/>
      <c r="M906" s="22"/>
      <c r="N906" s="22"/>
      <c r="O906" s="22"/>
      <c r="P906" s="22"/>
      <c r="Q906" s="27"/>
      <c r="R906" s="22"/>
      <c r="S906" s="22"/>
      <c r="T906" s="22"/>
      <c r="U906" s="22"/>
      <c r="V906" s="22"/>
      <c r="W906" s="22"/>
      <c r="X906" s="22"/>
      <c r="Y906" s="22"/>
      <c r="Z906" s="22"/>
      <c r="AA906" s="22"/>
      <c r="AB906" s="22"/>
    </row>
    <row r="907" spans="1:28" x14ac:dyDescent="0.3">
      <c r="A907" s="22"/>
      <c r="B907" s="22"/>
      <c r="C907" s="22"/>
      <c r="D907" s="22"/>
      <c r="E907" s="22"/>
      <c r="F907" s="22"/>
      <c r="G907" s="22"/>
      <c r="H907" s="22"/>
      <c r="I907" s="22"/>
      <c r="J907" s="22"/>
      <c r="K907" s="22"/>
      <c r="L907" s="22"/>
      <c r="M907" s="22"/>
      <c r="N907" s="22"/>
      <c r="O907" s="22"/>
      <c r="P907" s="22"/>
      <c r="Q907" s="27"/>
      <c r="R907" s="22"/>
      <c r="S907" s="22"/>
      <c r="T907" s="22"/>
      <c r="U907" s="22"/>
      <c r="V907" s="22"/>
      <c r="W907" s="22"/>
      <c r="X907" s="22"/>
      <c r="Y907" s="22"/>
      <c r="Z907" s="22"/>
      <c r="AA907" s="22"/>
      <c r="AB907" s="22"/>
    </row>
    <row r="908" spans="1:28" x14ac:dyDescent="0.3">
      <c r="A908" s="22"/>
      <c r="B908" s="22"/>
      <c r="C908" s="22"/>
      <c r="D908" s="22"/>
      <c r="E908" s="22"/>
      <c r="F908" s="22"/>
      <c r="G908" s="22"/>
      <c r="H908" s="22"/>
      <c r="I908" s="22"/>
      <c r="J908" s="22"/>
      <c r="K908" s="22"/>
      <c r="L908" s="22"/>
      <c r="M908" s="22"/>
      <c r="N908" s="22"/>
      <c r="O908" s="22"/>
      <c r="P908" s="22"/>
      <c r="Q908" s="27"/>
      <c r="R908" s="22"/>
      <c r="S908" s="22"/>
      <c r="T908" s="22"/>
      <c r="U908" s="22"/>
      <c r="V908" s="22"/>
      <c r="W908" s="22"/>
      <c r="X908" s="22"/>
      <c r="Y908" s="22"/>
      <c r="Z908" s="22"/>
      <c r="AA908" s="22"/>
      <c r="AB908" s="22"/>
    </row>
    <row r="909" spans="1:28" x14ac:dyDescent="0.3">
      <c r="A909" s="22"/>
      <c r="B909" s="22"/>
      <c r="C909" s="22"/>
      <c r="D909" s="22"/>
      <c r="E909" s="22"/>
      <c r="F909" s="22"/>
      <c r="G909" s="22"/>
      <c r="H909" s="22"/>
      <c r="I909" s="22"/>
      <c r="J909" s="22"/>
      <c r="K909" s="22"/>
      <c r="L909" s="22"/>
      <c r="M909" s="22"/>
      <c r="N909" s="22"/>
      <c r="O909" s="22"/>
      <c r="P909" s="22"/>
      <c r="Q909" s="27"/>
      <c r="R909" s="22"/>
      <c r="S909" s="22"/>
      <c r="T909" s="22"/>
      <c r="U909" s="22"/>
      <c r="V909" s="22"/>
      <c r="W909" s="22"/>
      <c r="X909" s="22"/>
      <c r="Y909" s="22"/>
      <c r="Z909" s="22"/>
      <c r="AA909" s="22"/>
      <c r="AB909" s="22"/>
    </row>
    <row r="910" spans="1:28" x14ac:dyDescent="0.3">
      <c r="A910" s="22"/>
      <c r="B910" s="22"/>
      <c r="C910" s="22"/>
      <c r="D910" s="22"/>
      <c r="E910" s="22"/>
      <c r="F910" s="22"/>
      <c r="G910" s="22"/>
      <c r="H910" s="22"/>
      <c r="I910" s="22"/>
      <c r="J910" s="22"/>
      <c r="K910" s="22"/>
      <c r="L910" s="22"/>
      <c r="M910" s="22"/>
      <c r="N910" s="22"/>
      <c r="O910" s="22"/>
      <c r="P910" s="22"/>
      <c r="Q910" s="27"/>
      <c r="R910" s="22"/>
      <c r="S910" s="22"/>
      <c r="T910" s="22"/>
      <c r="U910" s="22"/>
      <c r="V910" s="22"/>
      <c r="W910" s="22"/>
      <c r="X910" s="22"/>
      <c r="Y910" s="22"/>
      <c r="Z910" s="22"/>
      <c r="AA910" s="22"/>
      <c r="AB910" s="22"/>
    </row>
    <row r="911" spans="1:28" x14ac:dyDescent="0.3">
      <c r="A911" s="22"/>
      <c r="B911" s="22"/>
      <c r="C911" s="22"/>
      <c r="D911" s="22"/>
      <c r="E911" s="22"/>
      <c r="F911" s="22"/>
      <c r="G911" s="22"/>
      <c r="H911" s="22"/>
      <c r="I911" s="22"/>
      <c r="J911" s="22"/>
      <c r="K911" s="22"/>
      <c r="L911" s="22"/>
      <c r="M911" s="22"/>
      <c r="N911" s="22"/>
      <c r="O911" s="22"/>
      <c r="P911" s="22"/>
      <c r="Q911" s="27"/>
      <c r="R911" s="22"/>
      <c r="S911" s="22"/>
      <c r="T911" s="22"/>
      <c r="U911" s="22"/>
      <c r="V911" s="22"/>
      <c r="W911" s="22"/>
      <c r="X911" s="22"/>
      <c r="Y911" s="22"/>
      <c r="Z911" s="22"/>
      <c r="AA911" s="22"/>
      <c r="AB911" s="22"/>
    </row>
    <row r="912" spans="1:28" x14ac:dyDescent="0.3">
      <c r="A912" s="22"/>
      <c r="B912" s="22"/>
      <c r="C912" s="22"/>
      <c r="D912" s="22"/>
      <c r="E912" s="22"/>
      <c r="F912" s="22"/>
      <c r="G912" s="22"/>
      <c r="H912" s="22"/>
      <c r="I912" s="22"/>
      <c r="J912" s="22"/>
      <c r="K912" s="22"/>
      <c r="L912" s="22"/>
      <c r="M912" s="22"/>
      <c r="N912" s="22"/>
      <c r="O912" s="22"/>
      <c r="P912" s="22"/>
      <c r="Q912" s="27"/>
      <c r="R912" s="22"/>
      <c r="S912" s="22"/>
      <c r="T912" s="22"/>
      <c r="U912" s="22"/>
      <c r="V912" s="22"/>
      <c r="W912" s="22"/>
      <c r="X912" s="22"/>
      <c r="Y912" s="22"/>
      <c r="Z912" s="22"/>
      <c r="AA912" s="22"/>
      <c r="AB912" s="22"/>
    </row>
    <row r="913" spans="1:28" x14ac:dyDescent="0.3">
      <c r="A913" s="22"/>
      <c r="B913" s="22"/>
      <c r="C913" s="22"/>
      <c r="D913" s="22"/>
      <c r="E913" s="22"/>
      <c r="F913" s="22"/>
      <c r="G913" s="22"/>
      <c r="H913" s="22"/>
      <c r="I913" s="22"/>
      <c r="J913" s="22"/>
      <c r="K913" s="22"/>
      <c r="L913" s="22"/>
      <c r="M913" s="22"/>
      <c r="N913" s="22"/>
      <c r="O913" s="22"/>
      <c r="P913" s="22"/>
      <c r="Q913" s="27"/>
      <c r="R913" s="22"/>
      <c r="S913" s="22"/>
      <c r="T913" s="22"/>
      <c r="U913" s="22"/>
      <c r="V913" s="22"/>
      <c r="W913" s="22"/>
      <c r="X913" s="22"/>
      <c r="Y913" s="22"/>
      <c r="Z913" s="22"/>
      <c r="AA913" s="22"/>
      <c r="AB913" s="22"/>
    </row>
    <row r="914" spans="1:28" x14ac:dyDescent="0.3">
      <c r="A914" s="22"/>
      <c r="B914" s="22"/>
      <c r="C914" s="22"/>
      <c r="D914" s="22"/>
      <c r="E914" s="22"/>
      <c r="F914" s="22"/>
      <c r="G914" s="22"/>
      <c r="H914" s="22"/>
      <c r="I914" s="22"/>
      <c r="J914" s="22"/>
      <c r="K914" s="22"/>
      <c r="L914" s="22"/>
      <c r="M914" s="22"/>
      <c r="N914" s="22"/>
      <c r="O914" s="22"/>
      <c r="P914" s="22"/>
      <c r="Q914" s="27"/>
      <c r="R914" s="22"/>
      <c r="S914" s="22"/>
      <c r="T914" s="22"/>
      <c r="U914" s="22"/>
      <c r="V914" s="22"/>
      <c r="W914" s="22"/>
      <c r="X914" s="22"/>
      <c r="Y914" s="22"/>
      <c r="Z914" s="22"/>
      <c r="AA914" s="22"/>
      <c r="AB914" s="22"/>
    </row>
    <row r="915" spans="1:28" x14ac:dyDescent="0.3">
      <c r="A915" s="22"/>
      <c r="B915" s="22"/>
      <c r="C915" s="22"/>
      <c r="D915" s="22"/>
      <c r="E915" s="22"/>
      <c r="F915" s="22"/>
      <c r="G915" s="22"/>
      <c r="H915" s="22"/>
      <c r="I915" s="22"/>
      <c r="J915" s="22"/>
      <c r="K915" s="22"/>
      <c r="L915" s="22"/>
      <c r="M915" s="22"/>
      <c r="N915" s="22"/>
      <c r="O915" s="22"/>
      <c r="P915" s="22"/>
      <c r="Q915" s="27"/>
      <c r="R915" s="22"/>
      <c r="S915" s="22"/>
      <c r="T915" s="22"/>
      <c r="U915" s="22"/>
      <c r="V915" s="22"/>
      <c r="W915" s="22"/>
      <c r="X915" s="22"/>
      <c r="Y915" s="22"/>
      <c r="Z915" s="22"/>
      <c r="AA915" s="22"/>
      <c r="AB915" s="22"/>
    </row>
    <row r="916" spans="1:28" x14ac:dyDescent="0.3">
      <c r="A916" s="22"/>
      <c r="B916" s="22"/>
      <c r="C916" s="22"/>
      <c r="D916" s="22"/>
      <c r="E916" s="22"/>
      <c r="F916" s="22"/>
      <c r="G916" s="22"/>
      <c r="H916" s="22"/>
      <c r="I916" s="22"/>
      <c r="J916" s="22"/>
      <c r="K916" s="22"/>
      <c r="L916" s="22"/>
      <c r="M916" s="22"/>
      <c r="N916" s="22"/>
      <c r="O916" s="22"/>
      <c r="P916" s="22"/>
      <c r="Q916" s="27"/>
      <c r="R916" s="22"/>
      <c r="S916" s="22"/>
      <c r="T916" s="22"/>
      <c r="U916" s="22"/>
      <c r="V916" s="22"/>
      <c r="W916" s="22"/>
      <c r="X916" s="22"/>
      <c r="Y916" s="22"/>
      <c r="Z916" s="22"/>
      <c r="AA916" s="22"/>
      <c r="AB916" s="22"/>
    </row>
    <row r="917" spans="1:28" x14ac:dyDescent="0.3">
      <c r="A917" s="22"/>
      <c r="B917" s="22"/>
      <c r="C917" s="22"/>
      <c r="D917" s="22"/>
      <c r="E917" s="22"/>
      <c r="F917" s="22"/>
      <c r="G917" s="22"/>
      <c r="H917" s="22"/>
      <c r="I917" s="22"/>
      <c r="J917" s="22"/>
      <c r="K917" s="22"/>
      <c r="L917" s="22"/>
      <c r="M917" s="22"/>
      <c r="N917" s="22"/>
      <c r="O917" s="22"/>
      <c r="P917" s="22"/>
      <c r="Q917" s="27"/>
      <c r="R917" s="22"/>
      <c r="S917" s="22"/>
      <c r="T917" s="22"/>
      <c r="U917" s="22"/>
      <c r="V917" s="22"/>
      <c r="W917" s="22"/>
      <c r="X917" s="22"/>
      <c r="Y917" s="22"/>
      <c r="Z917" s="22"/>
      <c r="AA917" s="22"/>
      <c r="AB917" s="22"/>
    </row>
    <row r="918" spans="1:28" x14ac:dyDescent="0.3">
      <c r="A918" s="22"/>
      <c r="B918" s="22"/>
      <c r="C918" s="22"/>
      <c r="D918" s="22"/>
      <c r="E918" s="22"/>
      <c r="F918" s="22"/>
      <c r="G918" s="22"/>
      <c r="H918" s="22"/>
      <c r="I918" s="22"/>
      <c r="J918" s="22"/>
      <c r="K918" s="22"/>
      <c r="L918" s="22"/>
      <c r="M918" s="22"/>
      <c r="N918" s="22"/>
      <c r="O918" s="22"/>
      <c r="P918" s="22"/>
      <c r="Q918" s="27"/>
      <c r="R918" s="22"/>
      <c r="S918" s="22"/>
      <c r="T918" s="22"/>
      <c r="U918" s="22"/>
      <c r="V918" s="22"/>
      <c r="W918" s="22"/>
      <c r="X918" s="22"/>
      <c r="Y918" s="22"/>
      <c r="Z918" s="22"/>
      <c r="AA918" s="22"/>
      <c r="AB918" s="22"/>
    </row>
    <row r="919" spans="1:28" x14ac:dyDescent="0.3">
      <c r="A919" s="22"/>
      <c r="B919" s="22"/>
      <c r="C919" s="22"/>
      <c r="D919" s="22"/>
      <c r="E919" s="22"/>
      <c r="F919" s="22"/>
      <c r="G919" s="22"/>
      <c r="H919" s="22"/>
      <c r="I919" s="22"/>
      <c r="J919" s="22"/>
      <c r="K919" s="22"/>
      <c r="L919" s="22"/>
      <c r="M919" s="22"/>
      <c r="N919" s="22"/>
      <c r="O919" s="22"/>
      <c r="P919" s="22"/>
      <c r="Q919" s="27"/>
      <c r="R919" s="22"/>
      <c r="S919" s="22"/>
      <c r="T919" s="22"/>
      <c r="U919" s="22"/>
      <c r="V919" s="22"/>
      <c r="W919" s="22"/>
      <c r="X919" s="22"/>
      <c r="Y919" s="22"/>
      <c r="Z919" s="22"/>
      <c r="AA919" s="22"/>
      <c r="AB919" s="22"/>
    </row>
    <row r="920" spans="1:28" x14ac:dyDescent="0.3">
      <c r="A920" s="22"/>
      <c r="B920" s="22"/>
      <c r="C920" s="22"/>
      <c r="D920" s="22"/>
      <c r="E920" s="22"/>
      <c r="F920" s="22"/>
      <c r="G920" s="22"/>
      <c r="H920" s="22"/>
      <c r="I920" s="22"/>
      <c r="J920" s="22"/>
      <c r="K920" s="22"/>
      <c r="L920" s="22"/>
      <c r="M920" s="22"/>
      <c r="N920" s="22"/>
      <c r="O920" s="22"/>
      <c r="P920" s="22"/>
      <c r="Q920" s="27"/>
      <c r="R920" s="22"/>
      <c r="S920" s="22"/>
      <c r="T920" s="22"/>
      <c r="U920" s="22"/>
      <c r="V920" s="22"/>
      <c r="W920" s="22"/>
      <c r="X920" s="22"/>
      <c r="Y920" s="22"/>
      <c r="Z920" s="22"/>
      <c r="AA920" s="22"/>
      <c r="AB920" s="22"/>
    </row>
    <row r="921" spans="1:28" x14ac:dyDescent="0.3">
      <c r="A921" s="22"/>
      <c r="B921" s="22"/>
      <c r="C921" s="22"/>
      <c r="D921" s="22"/>
      <c r="E921" s="22"/>
      <c r="F921" s="22"/>
      <c r="G921" s="22"/>
      <c r="H921" s="22"/>
      <c r="I921" s="22"/>
      <c r="J921" s="22"/>
      <c r="K921" s="22"/>
      <c r="L921" s="22"/>
      <c r="M921" s="22"/>
      <c r="N921" s="22"/>
      <c r="O921" s="22"/>
      <c r="P921" s="22"/>
      <c r="Q921" s="27"/>
      <c r="R921" s="22"/>
      <c r="S921" s="22"/>
      <c r="T921" s="22"/>
      <c r="U921" s="22"/>
      <c r="V921" s="22"/>
      <c r="W921" s="22"/>
      <c r="X921" s="22"/>
      <c r="Y921" s="22"/>
      <c r="Z921" s="22"/>
      <c r="AA921" s="22"/>
      <c r="AB921" s="22"/>
    </row>
    <row r="922" spans="1:28" x14ac:dyDescent="0.3">
      <c r="A922" s="22"/>
      <c r="B922" s="22"/>
      <c r="C922" s="22"/>
      <c r="D922" s="22"/>
      <c r="E922" s="22"/>
      <c r="F922" s="22"/>
      <c r="G922" s="22"/>
      <c r="H922" s="22"/>
      <c r="I922" s="22"/>
      <c r="J922" s="22"/>
      <c r="K922" s="22"/>
      <c r="L922" s="22"/>
      <c r="M922" s="22"/>
      <c r="N922" s="22"/>
      <c r="O922" s="22"/>
      <c r="P922" s="22"/>
      <c r="Q922" s="27"/>
      <c r="R922" s="22"/>
      <c r="S922" s="22"/>
      <c r="T922" s="22"/>
      <c r="U922" s="22"/>
      <c r="V922" s="22"/>
      <c r="W922" s="22"/>
      <c r="X922" s="22"/>
      <c r="Y922" s="22"/>
      <c r="Z922" s="22"/>
      <c r="AA922" s="22"/>
      <c r="AB922" s="22"/>
    </row>
    <row r="923" spans="1:28" x14ac:dyDescent="0.3">
      <c r="A923" s="22"/>
      <c r="B923" s="22"/>
      <c r="C923" s="22"/>
      <c r="D923" s="22"/>
      <c r="E923" s="22"/>
      <c r="F923" s="22"/>
      <c r="G923" s="22"/>
      <c r="H923" s="22"/>
      <c r="I923" s="22"/>
      <c r="J923" s="22"/>
      <c r="K923" s="22"/>
      <c r="L923" s="22"/>
      <c r="M923" s="22"/>
      <c r="N923" s="22"/>
      <c r="O923" s="22"/>
      <c r="P923" s="22"/>
      <c r="Q923" s="27"/>
      <c r="R923" s="22"/>
      <c r="S923" s="22"/>
      <c r="T923" s="22"/>
      <c r="U923" s="22"/>
      <c r="V923" s="22"/>
      <c r="W923" s="22"/>
      <c r="X923" s="22"/>
      <c r="Y923" s="22"/>
      <c r="Z923" s="22"/>
      <c r="AA923" s="22"/>
      <c r="AB923" s="22"/>
    </row>
    <row r="924" spans="1:28" x14ac:dyDescent="0.3">
      <c r="A924" s="22"/>
      <c r="B924" s="22"/>
      <c r="C924" s="22"/>
      <c r="D924" s="22"/>
      <c r="E924" s="22"/>
      <c r="F924" s="22"/>
      <c r="G924" s="22"/>
      <c r="H924" s="22"/>
      <c r="I924" s="22"/>
      <c r="J924" s="22"/>
      <c r="K924" s="22"/>
      <c r="L924" s="22"/>
      <c r="M924" s="22"/>
      <c r="N924" s="22"/>
      <c r="O924" s="22"/>
      <c r="P924" s="22"/>
      <c r="Q924" s="27"/>
      <c r="R924" s="22"/>
      <c r="S924" s="22"/>
      <c r="T924" s="22"/>
      <c r="U924" s="22"/>
      <c r="V924" s="22"/>
      <c r="W924" s="22"/>
      <c r="X924" s="22"/>
      <c r="Y924" s="22"/>
      <c r="Z924" s="22"/>
      <c r="AA924" s="22"/>
      <c r="AB924" s="22"/>
    </row>
    <row r="925" spans="1:28" x14ac:dyDescent="0.3">
      <c r="A925" s="22"/>
      <c r="B925" s="22"/>
      <c r="C925" s="22"/>
      <c r="D925" s="22"/>
      <c r="E925" s="22"/>
      <c r="F925" s="22"/>
      <c r="G925" s="22"/>
      <c r="H925" s="22"/>
      <c r="I925" s="22"/>
      <c r="J925" s="22"/>
      <c r="K925" s="22"/>
      <c r="L925" s="22"/>
      <c r="M925" s="22"/>
      <c r="N925" s="22"/>
      <c r="O925" s="22"/>
      <c r="P925" s="22"/>
      <c r="Q925" s="27"/>
      <c r="R925" s="22"/>
      <c r="S925" s="22"/>
      <c r="T925" s="22"/>
      <c r="U925" s="22"/>
      <c r="V925" s="22"/>
      <c r="W925" s="22"/>
      <c r="X925" s="22"/>
      <c r="Y925" s="22"/>
      <c r="Z925" s="22"/>
      <c r="AA925" s="22"/>
      <c r="AB925" s="22"/>
    </row>
    <row r="926" spans="1:28" x14ac:dyDescent="0.3">
      <c r="A926" s="22"/>
      <c r="B926" s="22"/>
      <c r="C926" s="22"/>
      <c r="D926" s="22"/>
      <c r="E926" s="22"/>
      <c r="F926" s="22"/>
      <c r="G926" s="22"/>
      <c r="H926" s="22"/>
      <c r="I926" s="22"/>
      <c r="J926" s="22"/>
      <c r="K926" s="22"/>
      <c r="L926" s="22"/>
      <c r="M926" s="22"/>
      <c r="N926" s="22"/>
      <c r="O926" s="22"/>
      <c r="P926" s="22"/>
      <c r="Q926" s="27"/>
      <c r="R926" s="22"/>
      <c r="S926" s="22"/>
      <c r="T926" s="22"/>
      <c r="U926" s="22"/>
      <c r="V926" s="22"/>
      <c r="W926" s="22"/>
      <c r="X926" s="22"/>
      <c r="Y926" s="22"/>
      <c r="Z926" s="22"/>
      <c r="AA926" s="22"/>
      <c r="AB926" s="22"/>
    </row>
    <row r="927" spans="1:28" x14ac:dyDescent="0.3">
      <c r="A927" s="22"/>
      <c r="B927" s="22"/>
      <c r="C927" s="22"/>
      <c r="D927" s="22"/>
      <c r="E927" s="22"/>
      <c r="F927" s="22"/>
      <c r="G927" s="22"/>
      <c r="H927" s="22"/>
      <c r="I927" s="22"/>
      <c r="J927" s="22"/>
      <c r="K927" s="22"/>
      <c r="L927" s="22"/>
      <c r="M927" s="22"/>
      <c r="N927" s="22"/>
      <c r="O927" s="22"/>
      <c r="P927" s="22"/>
      <c r="Q927" s="27"/>
      <c r="R927" s="22"/>
      <c r="S927" s="22"/>
      <c r="T927" s="22"/>
      <c r="U927" s="22"/>
      <c r="V927" s="22"/>
      <c r="W927" s="22"/>
      <c r="X927" s="22"/>
      <c r="Y927" s="22"/>
      <c r="Z927" s="22"/>
      <c r="AA927" s="22"/>
      <c r="AB927" s="22"/>
    </row>
    <row r="928" spans="1:28" x14ac:dyDescent="0.3">
      <c r="A928" s="22"/>
      <c r="B928" s="22"/>
      <c r="C928" s="22"/>
      <c r="D928" s="22"/>
      <c r="E928" s="22"/>
      <c r="F928" s="22"/>
      <c r="G928" s="22"/>
      <c r="H928" s="22"/>
      <c r="I928" s="22"/>
      <c r="J928" s="22"/>
      <c r="K928" s="22"/>
      <c r="L928" s="22"/>
      <c r="M928" s="22"/>
      <c r="N928" s="22"/>
      <c r="O928" s="22"/>
      <c r="P928" s="22"/>
      <c r="Q928" s="27"/>
      <c r="R928" s="22"/>
      <c r="S928" s="22"/>
      <c r="T928" s="22"/>
      <c r="U928" s="22"/>
      <c r="V928" s="22"/>
      <c r="W928" s="22"/>
      <c r="X928" s="22"/>
      <c r="Y928" s="22"/>
      <c r="Z928" s="22"/>
      <c r="AA928" s="22"/>
      <c r="AB928" s="22"/>
    </row>
    <row r="929" spans="1:28" x14ac:dyDescent="0.3">
      <c r="A929" s="22"/>
      <c r="B929" s="22"/>
      <c r="C929" s="22"/>
      <c r="D929" s="22"/>
      <c r="E929" s="22"/>
      <c r="F929" s="22"/>
      <c r="G929" s="22"/>
      <c r="H929" s="22"/>
      <c r="I929" s="22"/>
      <c r="J929" s="22"/>
      <c r="K929" s="22"/>
      <c r="L929" s="22"/>
      <c r="M929" s="22"/>
      <c r="N929" s="22"/>
      <c r="O929" s="22"/>
      <c r="P929" s="22"/>
      <c r="Q929" s="27"/>
      <c r="R929" s="22"/>
      <c r="S929" s="22"/>
      <c r="T929" s="22"/>
      <c r="U929" s="22"/>
      <c r="V929" s="22"/>
      <c r="W929" s="22"/>
      <c r="X929" s="22"/>
      <c r="Y929" s="22"/>
      <c r="Z929" s="22"/>
      <c r="AA929" s="22"/>
      <c r="AB929" s="22"/>
    </row>
    <row r="930" spans="1:28" x14ac:dyDescent="0.3">
      <c r="A930" s="22"/>
      <c r="B930" s="22"/>
      <c r="C930" s="22"/>
      <c r="D930" s="22"/>
      <c r="E930" s="22"/>
      <c r="F930" s="22"/>
      <c r="G930" s="22"/>
      <c r="H930" s="22"/>
      <c r="I930" s="22"/>
      <c r="J930" s="22"/>
      <c r="K930" s="22"/>
      <c r="L930" s="22"/>
      <c r="M930" s="22"/>
      <c r="N930" s="22"/>
      <c r="O930" s="22"/>
      <c r="P930" s="22"/>
      <c r="Q930" s="27"/>
      <c r="R930" s="22"/>
      <c r="S930" s="22"/>
      <c r="T930" s="22"/>
      <c r="U930" s="22"/>
      <c r="V930" s="22"/>
      <c r="W930" s="22"/>
      <c r="X930" s="22"/>
      <c r="Y930" s="22"/>
      <c r="Z930" s="22"/>
      <c r="AA930" s="22"/>
      <c r="AB930" s="22"/>
    </row>
    <row r="931" spans="1:28" x14ac:dyDescent="0.3">
      <c r="A931" s="22"/>
      <c r="B931" s="22"/>
      <c r="C931" s="22"/>
      <c r="D931" s="22"/>
      <c r="E931" s="22"/>
      <c r="F931" s="22"/>
      <c r="G931" s="22"/>
      <c r="H931" s="22"/>
      <c r="I931" s="22"/>
      <c r="J931" s="22"/>
      <c r="K931" s="22"/>
      <c r="L931" s="22"/>
      <c r="M931" s="22"/>
      <c r="N931" s="22"/>
      <c r="O931" s="22"/>
      <c r="P931" s="22"/>
      <c r="Q931" s="27"/>
      <c r="R931" s="22"/>
      <c r="S931" s="22"/>
      <c r="T931" s="22"/>
      <c r="U931" s="22"/>
      <c r="V931" s="22"/>
      <c r="W931" s="22"/>
      <c r="X931" s="22"/>
      <c r="Y931" s="22"/>
      <c r="Z931" s="22"/>
      <c r="AA931" s="22"/>
      <c r="AB931" s="22"/>
    </row>
    <row r="932" spans="1:28" x14ac:dyDescent="0.3">
      <c r="A932" s="22"/>
      <c r="B932" s="22"/>
      <c r="C932" s="22"/>
      <c r="D932" s="22"/>
      <c r="E932" s="22"/>
      <c r="F932" s="22"/>
      <c r="G932" s="22"/>
      <c r="H932" s="22"/>
      <c r="I932" s="22"/>
      <c r="J932" s="22"/>
      <c r="K932" s="22"/>
      <c r="L932" s="22"/>
      <c r="M932" s="22"/>
      <c r="N932" s="22"/>
      <c r="O932" s="22"/>
      <c r="P932" s="22"/>
      <c r="Q932" s="27"/>
      <c r="R932" s="22"/>
      <c r="S932" s="22"/>
      <c r="T932" s="22"/>
      <c r="U932" s="22"/>
      <c r="V932" s="22"/>
      <c r="W932" s="22"/>
      <c r="X932" s="22"/>
      <c r="Y932" s="22"/>
      <c r="Z932" s="22"/>
      <c r="AA932" s="22"/>
      <c r="AB932" s="22"/>
    </row>
    <row r="933" spans="1:28" x14ac:dyDescent="0.3">
      <c r="A933" s="22"/>
      <c r="B933" s="22"/>
      <c r="C933" s="22"/>
      <c r="D933" s="22"/>
      <c r="E933" s="22"/>
      <c r="F933" s="22"/>
      <c r="G933" s="22"/>
      <c r="H933" s="22"/>
      <c r="I933" s="22"/>
      <c r="J933" s="22"/>
      <c r="K933" s="22"/>
      <c r="L933" s="22"/>
      <c r="M933" s="22"/>
      <c r="N933" s="22"/>
      <c r="O933" s="22"/>
      <c r="P933" s="22"/>
      <c r="Q933" s="27"/>
      <c r="R933" s="22"/>
      <c r="S933" s="22"/>
      <c r="T933" s="22"/>
      <c r="U933" s="22"/>
      <c r="V933" s="22"/>
      <c r="W933" s="22"/>
      <c r="X933" s="22"/>
      <c r="Y933" s="22"/>
      <c r="Z933" s="22"/>
      <c r="AA933" s="22"/>
      <c r="AB933" s="22"/>
    </row>
    <row r="934" spans="1:28" x14ac:dyDescent="0.3">
      <c r="A934" s="22"/>
      <c r="B934" s="22"/>
      <c r="C934" s="22"/>
      <c r="D934" s="22"/>
      <c r="E934" s="22"/>
      <c r="F934" s="22"/>
      <c r="G934" s="22"/>
      <c r="H934" s="22"/>
      <c r="I934" s="22"/>
      <c r="J934" s="22"/>
      <c r="K934" s="22"/>
      <c r="L934" s="22"/>
      <c r="M934" s="22"/>
      <c r="N934" s="22"/>
      <c r="O934" s="22"/>
      <c r="P934" s="22"/>
      <c r="Q934" s="27"/>
      <c r="R934" s="22"/>
      <c r="S934" s="22"/>
      <c r="T934" s="22"/>
      <c r="U934" s="22"/>
      <c r="V934" s="22"/>
      <c r="W934" s="22"/>
      <c r="X934" s="22"/>
      <c r="Y934" s="22"/>
      <c r="Z934" s="22"/>
      <c r="AA934" s="22"/>
      <c r="AB934" s="22"/>
    </row>
    <row r="935" spans="1:28" x14ac:dyDescent="0.3">
      <c r="A935" s="22"/>
      <c r="B935" s="22"/>
      <c r="C935" s="22"/>
      <c r="D935" s="22"/>
      <c r="E935" s="22"/>
      <c r="F935" s="22"/>
      <c r="G935" s="22"/>
      <c r="H935" s="22"/>
      <c r="I935" s="22"/>
      <c r="J935" s="22"/>
      <c r="K935" s="22"/>
      <c r="L935" s="22"/>
      <c r="M935" s="22"/>
      <c r="N935" s="22"/>
      <c r="O935" s="22"/>
      <c r="P935" s="22"/>
      <c r="Q935" s="27"/>
      <c r="R935" s="22"/>
      <c r="S935" s="22"/>
      <c r="T935" s="22"/>
      <c r="U935" s="22"/>
      <c r="V935" s="22"/>
      <c r="W935" s="22"/>
      <c r="X935" s="22"/>
      <c r="Y935" s="22"/>
      <c r="Z935" s="22"/>
      <c r="AA935" s="22"/>
      <c r="AB935" s="22"/>
    </row>
    <row r="936" spans="1:28" x14ac:dyDescent="0.3">
      <c r="A936" s="22"/>
      <c r="B936" s="22"/>
      <c r="C936" s="22"/>
      <c r="D936" s="22"/>
      <c r="E936" s="22"/>
      <c r="F936" s="22"/>
      <c r="G936" s="22"/>
      <c r="H936" s="22"/>
      <c r="I936" s="22"/>
      <c r="J936" s="22"/>
      <c r="K936" s="22"/>
      <c r="L936" s="22"/>
      <c r="M936" s="22"/>
      <c r="N936" s="22"/>
      <c r="O936" s="22"/>
      <c r="P936" s="22"/>
      <c r="Q936" s="27"/>
      <c r="R936" s="22"/>
      <c r="S936" s="22"/>
      <c r="T936" s="22"/>
      <c r="U936" s="22"/>
      <c r="V936" s="22"/>
      <c r="W936" s="22"/>
      <c r="X936" s="22"/>
      <c r="Y936" s="22"/>
      <c r="Z936" s="22"/>
      <c r="AA936" s="22"/>
      <c r="AB936" s="22"/>
    </row>
    <row r="937" spans="1:28" x14ac:dyDescent="0.3">
      <c r="A937" s="22"/>
      <c r="B937" s="22"/>
      <c r="C937" s="22"/>
      <c r="D937" s="22"/>
      <c r="E937" s="22"/>
      <c r="F937" s="22"/>
      <c r="G937" s="22"/>
      <c r="H937" s="22"/>
      <c r="I937" s="22"/>
      <c r="J937" s="22"/>
      <c r="K937" s="22"/>
      <c r="L937" s="22"/>
      <c r="M937" s="22"/>
      <c r="N937" s="22"/>
      <c r="O937" s="22"/>
      <c r="P937" s="22"/>
      <c r="Q937" s="27"/>
      <c r="R937" s="22"/>
      <c r="S937" s="22"/>
      <c r="T937" s="22"/>
      <c r="U937" s="22"/>
      <c r="V937" s="22"/>
      <c r="W937" s="22"/>
      <c r="X937" s="22"/>
      <c r="Y937" s="22"/>
      <c r="Z937" s="22"/>
      <c r="AA937" s="22"/>
      <c r="AB937" s="22"/>
    </row>
    <row r="938" spans="1:28" x14ac:dyDescent="0.3">
      <c r="A938" s="22"/>
      <c r="B938" s="22"/>
      <c r="C938" s="22"/>
      <c r="D938" s="22"/>
      <c r="E938" s="22"/>
      <c r="F938" s="22"/>
      <c r="G938" s="22"/>
      <c r="H938" s="22"/>
      <c r="I938" s="22"/>
      <c r="J938" s="22"/>
      <c r="K938" s="22"/>
      <c r="L938" s="22"/>
      <c r="M938" s="22"/>
      <c r="N938" s="22"/>
      <c r="O938" s="22"/>
      <c r="P938" s="22"/>
      <c r="Q938" s="27"/>
      <c r="R938" s="22"/>
      <c r="S938" s="22"/>
      <c r="T938" s="22"/>
      <c r="U938" s="22"/>
      <c r="V938" s="22"/>
      <c r="W938" s="22"/>
      <c r="X938" s="22"/>
      <c r="Y938" s="22"/>
      <c r="Z938" s="22"/>
      <c r="AA938" s="22"/>
      <c r="AB938" s="22"/>
    </row>
    <row r="939" spans="1:28" x14ac:dyDescent="0.3">
      <c r="A939" s="22"/>
      <c r="B939" s="22"/>
      <c r="C939" s="22"/>
      <c r="D939" s="22"/>
      <c r="E939" s="22"/>
      <c r="F939" s="22"/>
      <c r="G939" s="22"/>
      <c r="H939" s="22"/>
      <c r="I939" s="22"/>
      <c r="J939" s="22"/>
      <c r="K939" s="22"/>
      <c r="L939" s="22"/>
      <c r="M939" s="22"/>
      <c r="N939" s="22"/>
      <c r="O939" s="22"/>
      <c r="P939" s="22"/>
      <c r="Q939" s="27"/>
      <c r="R939" s="22"/>
      <c r="S939" s="22"/>
      <c r="T939" s="22"/>
      <c r="U939" s="22"/>
      <c r="V939" s="22"/>
      <c r="W939" s="22"/>
      <c r="X939" s="22"/>
      <c r="Y939" s="22"/>
      <c r="Z939" s="22"/>
      <c r="AA939" s="22"/>
      <c r="AB939" s="22"/>
    </row>
    <row r="940" spans="1:28" x14ac:dyDescent="0.3">
      <c r="A940" s="22"/>
      <c r="B940" s="22"/>
      <c r="C940" s="22"/>
      <c r="D940" s="22"/>
      <c r="E940" s="22"/>
      <c r="F940" s="22"/>
      <c r="G940" s="22"/>
      <c r="H940" s="22"/>
      <c r="I940" s="22"/>
      <c r="J940" s="22"/>
      <c r="K940" s="22"/>
      <c r="L940" s="22"/>
      <c r="M940" s="22"/>
      <c r="N940" s="22"/>
      <c r="O940" s="22"/>
      <c r="P940" s="22"/>
      <c r="Q940" s="27"/>
      <c r="R940" s="22"/>
      <c r="S940" s="22"/>
      <c r="T940" s="22"/>
      <c r="U940" s="22"/>
      <c r="V940" s="22"/>
      <c r="W940" s="22"/>
      <c r="X940" s="22"/>
      <c r="Y940" s="22"/>
      <c r="Z940" s="22"/>
      <c r="AA940" s="22"/>
      <c r="AB940" s="22"/>
    </row>
    <row r="941" spans="1:28" x14ac:dyDescent="0.3">
      <c r="A941" s="22"/>
      <c r="B941" s="22"/>
      <c r="C941" s="22"/>
      <c r="D941" s="22"/>
      <c r="E941" s="22"/>
      <c r="F941" s="22"/>
      <c r="G941" s="22"/>
      <c r="H941" s="22"/>
      <c r="I941" s="22"/>
      <c r="J941" s="22"/>
      <c r="K941" s="22"/>
      <c r="L941" s="22"/>
      <c r="M941" s="22"/>
      <c r="N941" s="22"/>
      <c r="O941" s="22"/>
      <c r="P941" s="22"/>
      <c r="Q941" s="27"/>
      <c r="R941" s="22"/>
      <c r="S941" s="22"/>
      <c r="T941" s="22"/>
      <c r="U941" s="22"/>
      <c r="V941" s="22"/>
      <c r="W941" s="22"/>
      <c r="X941" s="22"/>
      <c r="Y941" s="22"/>
      <c r="Z941" s="22"/>
      <c r="AA941" s="22"/>
      <c r="AB941" s="22"/>
    </row>
    <row r="942" spans="1:28" x14ac:dyDescent="0.3">
      <c r="A942" s="22"/>
      <c r="B942" s="22"/>
      <c r="C942" s="22"/>
      <c r="D942" s="22"/>
      <c r="E942" s="22"/>
      <c r="F942" s="22"/>
      <c r="G942" s="22"/>
      <c r="H942" s="22"/>
      <c r="I942" s="22"/>
      <c r="J942" s="22"/>
      <c r="K942" s="22"/>
      <c r="L942" s="22"/>
      <c r="M942" s="22"/>
      <c r="N942" s="22"/>
      <c r="O942" s="22"/>
      <c r="P942" s="22"/>
      <c r="Q942" s="27"/>
      <c r="R942" s="22"/>
      <c r="S942" s="22"/>
      <c r="T942" s="22"/>
      <c r="U942" s="22"/>
      <c r="V942" s="22"/>
      <c r="W942" s="22"/>
      <c r="X942" s="22"/>
      <c r="Y942" s="22"/>
      <c r="Z942" s="22"/>
      <c r="AA942" s="22"/>
      <c r="AB942" s="22"/>
    </row>
    <row r="943" spans="1:28" x14ac:dyDescent="0.3">
      <c r="A943" s="22"/>
      <c r="B943" s="22"/>
      <c r="C943" s="22"/>
      <c r="D943" s="22"/>
      <c r="E943" s="22"/>
      <c r="F943" s="22"/>
      <c r="G943" s="22"/>
      <c r="H943" s="22"/>
      <c r="I943" s="22"/>
      <c r="J943" s="22"/>
      <c r="K943" s="22"/>
      <c r="L943" s="22"/>
      <c r="M943" s="22"/>
      <c r="N943" s="22"/>
      <c r="O943" s="22"/>
      <c r="P943" s="22"/>
      <c r="Q943" s="27"/>
      <c r="R943" s="22"/>
      <c r="S943" s="22"/>
      <c r="T943" s="22"/>
      <c r="U943" s="22"/>
      <c r="V943" s="22"/>
      <c r="W943" s="22"/>
      <c r="X943" s="22"/>
      <c r="Y943" s="22"/>
      <c r="Z943" s="22"/>
      <c r="AA943" s="22"/>
      <c r="AB943" s="22"/>
    </row>
    <row r="944" spans="1:28" x14ac:dyDescent="0.3">
      <c r="A944" s="22"/>
      <c r="B944" s="22"/>
      <c r="C944" s="22"/>
      <c r="D944" s="22"/>
      <c r="E944" s="22"/>
      <c r="F944" s="22"/>
      <c r="G944" s="22"/>
      <c r="H944" s="22"/>
      <c r="I944" s="22"/>
      <c r="J944" s="22"/>
      <c r="K944" s="22"/>
      <c r="L944" s="22"/>
      <c r="M944" s="22"/>
      <c r="N944" s="22"/>
      <c r="O944" s="22"/>
      <c r="P944" s="22"/>
      <c r="Q944" s="27"/>
      <c r="R944" s="22"/>
      <c r="S944" s="22"/>
      <c r="T944" s="22"/>
      <c r="U944" s="22"/>
      <c r="V944" s="22"/>
      <c r="W944" s="22"/>
      <c r="X944" s="22"/>
      <c r="Y944" s="22"/>
      <c r="Z944" s="22"/>
      <c r="AA944" s="22"/>
      <c r="AB944" s="22"/>
    </row>
    <row r="945" spans="1:28" x14ac:dyDescent="0.3">
      <c r="A945" s="22"/>
      <c r="B945" s="22"/>
      <c r="C945" s="22"/>
      <c r="D945" s="22"/>
      <c r="E945" s="22"/>
      <c r="F945" s="22"/>
      <c r="G945" s="22"/>
      <c r="H945" s="22"/>
      <c r="I945" s="22"/>
      <c r="J945" s="22"/>
      <c r="K945" s="22"/>
      <c r="L945" s="22"/>
      <c r="M945" s="22"/>
      <c r="N945" s="22"/>
      <c r="O945" s="22"/>
      <c r="P945" s="22"/>
      <c r="Q945" s="27"/>
      <c r="R945" s="22"/>
      <c r="S945" s="22"/>
      <c r="T945" s="22"/>
      <c r="U945" s="22"/>
      <c r="V945" s="22"/>
      <c r="W945" s="22"/>
      <c r="X945" s="22"/>
      <c r="Y945" s="22"/>
      <c r="Z945" s="22"/>
      <c r="AA945" s="22"/>
      <c r="AB945" s="22"/>
    </row>
    <row r="946" spans="1:28" x14ac:dyDescent="0.3">
      <c r="A946" s="22"/>
      <c r="B946" s="22"/>
      <c r="C946" s="22"/>
      <c r="D946" s="22"/>
      <c r="E946" s="22"/>
      <c r="F946" s="22"/>
      <c r="G946" s="22"/>
      <c r="H946" s="22"/>
      <c r="I946" s="22"/>
      <c r="J946" s="22"/>
      <c r="K946" s="22"/>
      <c r="L946" s="22"/>
      <c r="M946" s="22"/>
      <c r="N946" s="22"/>
      <c r="O946" s="22"/>
      <c r="P946" s="22"/>
      <c r="Q946" s="27"/>
      <c r="R946" s="22"/>
      <c r="S946" s="22"/>
      <c r="T946" s="22"/>
      <c r="U946" s="22"/>
      <c r="V946" s="22"/>
      <c r="W946" s="22"/>
      <c r="X946" s="22"/>
      <c r="Y946" s="22"/>
      <c r="Z946" s="22"/>
      <c r="AA946" s="22"/>
      <c r="AB946" s="22"/>
    </row>
    <row r="947" spans="1:28" x14ac:dyDescent="0.3">
      <c r="A947" s="22"/>
      <c r="B947" s="22"/>
      <c r="C947" s="22"/>
      <c r="D947" s="22"/>
      <c r="E947" s="22"/>
      <c r="F947" s="22"/>
      <c r="G947" s="22"/>
      <c r="H947" s="22"/>
      <c r="I947" s="22"/>
      <c r="J947" s="22"/>
      <c r="K947" s="22"/>
      <c r="L947" s="22"/>
      <c r="M947" s="22"/>
      <c r="N947" s="22"/>
      <c r="O947" s="22"/>
      <c r="P947" s="22"/>
      <c r="Q947" s="27"/>
      <c r="R947" s="22"/>
      <c r="S947" s="22"/>
      <c r="T947" s="22"/>
      <c r="U947" s="22"/>
      <c r="V947" s="22"/>
      <c r="W947" s="22"/>
      <c r="X947" s="22"/>
      <c r="Y947" s="22"/>
      <c r="Z947" s="22"/>
      <c r="AA947" s="22"/>
      <c r="AB947" s="22"/>
    </row>
    <row r="948" spans="1:28" x14ac:dyDescent="0.3">
      <c r="A948" s="22"/>
      <c r="B948" s="22"/>
      <c r="C948" s="22"/>
      <c r="D948" s="22"/>
      <c r="E948" s="22"/>
      <c r="F948" s="22"/>
      <c r="G948" s="22"/>
      <c r="H948" s="22"/>
      <c r="I948" s="22"/>
      <c r="J948" s="22"/>
      <c r="K948" s="22"/>
      <c r="L948" s="22"/>
      <c r="M948" s="22"/>
      <c r="N948" s="22"/>
      <c r="O948" s="22"/>
      <c r="P948" s="22"/>
      <c r="Q948" s="27"/>
      <c r="R948" s="22"/>
      <c r="S948" s="22"/>
      <c r="T948" s="22"/>
      <c r="U948" s="22"/>
      <c r="V948" s="22"/>
      <c r="W948" s="22"/>
      <c r="X948" s="22"/>
      <c r="Y948" s="22"/>
      <c r="Z948" s="22"/>
      <c r="AA948" s="22"/>
      <c r="AB948" s="22"/>
    </row>
    <row r="949" spans="1:28" x14ac:dyDescent="0.3">
      <c r="A949" s="22"/>
      <c r="B949" s="22"/>
      <c r="C949" s="22"/>
      <c r="D949" s="22"/>
      <c r="E949" s="22"/>
      <c r="F949" s="22"/>
      <c r="G949" s="22"/>
      <c r="H949" s="22"/>
      <c r="I949" s="22"/>
      <c r="J949" s="22"/>
      <c r="K949" s="22"/>
      <c r="L949" s="22"/>
      <c r="M949" s="22"/>
      <c r="N949" s="22"/>
      <c r="O949" s="22"/>
      <c r="P949" s="22"/>
      <c r="Q949" s="27"/>
      <c r="R949" s="22"/>
      <c r="S949" s="22"/>
      <c r="T949" s="22"/>
      <c r="U949" s="22"/>
      <c r="V949" s="22"/>
      <c r="W949" s="22"/>
      <c r="X949" s="22"/>
      <c r="Y949" s="22"/>
      <c r="Z949" s="22"/>
      <c r="AA949" s="22"/>
      <c r="AB949" s="22"/>
    </row>
    <row r="950" spans="1:28" x14ac:dyDescent="0.3">
      <c r="A950" s="22"/>
      <c r="B950" s="22"/>
      <c r="C950" s="22"/>
      <c r="D950" s="22"/>
      <c r="E950" s="22"/>
      <c r="F950" s="22"/>
      <c r="G950" s="22"/>
      <c r="H950" s="22"/>
      <c r="I950" s="22"/>
      <c r="J950" s="22"/>
      <c r="K950" s="22"/>
      <c r="L950" s="22"/>
      <c r="M950" s="22"/>
      <c r="N950" s="22"/>
      <c r="O950" s="22"/>
      <c r="P950" s="22"/>
      <c r="Q950" s="27"/>
      <c r="R950" s="22"/>
      <c r="S950" s="22"/>
      <c r="T950" s="22"/>
      <c r="U950" s="22"/>
      <c r="V950" s="22"/>
      <c r="W950" s="22"/>
      <c r="X950" s="22"/>
      <c r="Y950" s="22"/>
      <c r="Z950" s="22"/>
      <c r="AA950" s="22"/>
      <c r="AB950" s="22"/>
    </row>
    <row r="951" spans="1:28" x14ac:dyDescent="0.3">
      <c r="A951" s="22"/>
      <c r="B951" s="22"/>
      <c r="C951" s="22"/>
      <c r="D951" s="22"/>
      <c r="E951" s="22"/>
      <c r="F951" s="22"/>
      <c r="G951" s="22"/>
      <c r="H951" s="22"/>
      <c r="I951" s="22"/>
      <c r="J951" s="22"/>
      <c r="K951" s="22"/>
      <c r="L951" s="22"/>
      <c r="M951" s="22"/>
      <c r="N951" s="22"/>
      <c r="O951" s="22"/>
      <c r="P951" s="22"/>
      <c r="Q951" s="27"/>
      <c r="R951" s="22"/>
      <c r="S951" s="22"/>
      <c r="T951" s="22"/>
      <c r="U951" s="22"/>
      <c r="V951" s="22"/>
      <c r="W951" s="22"/>
      <c r="X951" s="22"/>
      <c r="Y951" s="22"/>
      <c r="Z951" s="22"/>
      <c r="AA951" s="22"/>
      <c r="AB951" s="22"/>
    </row>
    <row r="952" spans="1:28" x14ac:dyDescent="0.3">
      <c r="A952" s="22"/>
      <c r="B952" s="22"/>
      <c r="C952" s="22"/>
      <c r="D952" s="22"/>
      <c r="E952" s="22"/>
      <c r="F952" s="22"/>
      <c r="G952" s="22"/>
      <c r="H952" s="22"/>
      <c r="I952" s="22"/>
      <c r="J952" s="22"/>
      <c r="K952" s="22"/>
      <c r="L952" s="22"/>
      <c r="M952" s="22"/>
      <c r="N952" s="22"/>
      <c r="O952" s="22"/>
      <c r="P952" s="22"/>
      <c r="Q952" s="27"/>
      <c r="R952" s="22"/>
      <c r="S952" s="22"/>
      <c r="T952" s="22"/>
      <c r="U952" s="22"/>
      <c r="V952" s="22"/>
      <c r="W952" s="22"/>
      <c r="X952" s="22"/>
      <c r="Y952" s="22"/>
      <c r="Z952" s="22"/>
      <c r="AA952" s="22"/>
      <c r="AB952" s="22"/>
    </row>
    <row r="953" spans="1:28" x14ac:dyDescent="0.3">
      <c r="A953" s="22"/>
      <c r="B953" s="22"/>
      <c r="C953" s="22"/>
      <c r="D953" s="22"/>
      <c r="E953" s="22"/>
      <c r="F953" s="22"/>
      <c r="G953" s="22"/>
      <c r="H953" s="22"/>
      <c r="I953" s="22"/>
      <c r="J953" s="22"/>
      <c r="K953" s="22"/>
      <c r="L953" s="22"/>
      <c r="M953" s="22"/>
      <c r="N953" s="22"/>
      <c r="O953" s="22"/>
      <c r="P953" s="22"/>
      <c r="Q953" s="27"/>
      <c r="R953" s="22"/>
      <c r="S953" s="22"/>
      <c r="T953" s="22"/>
      <c r="U953" s="22"/>
      <c r="V953" s="22"/>
      <c r="W953" s="22"/>
      <c r="X953" s="22"/>
      <c r="Y953" s="22"/>
      <c r="Z953" s="22"/>
      <c r="AA953" s="22"/>
      <c r="AB953" s="22"/>
    </row>
    <row r="954" spans="1:28" x14ac:dyDescent="0.3">
      <c r="A954" s="22"/>
      <c r="B954" s="22"/>
      <c r="C954" s="22"/>
      <c r="D954" s="22"/>
      <c r="E954" s="22"/>
      <c r="F954" s="22"/>
      <c r="G954" s="22"/>
      <c r="H954" s="22"/>
      <c r="I954" s="22"/>
      <c r="J954" s="22"/>
      <c r="K954" s="22"/>
      <c r="L954" s="22"/>
      <c r="M954" s="22"/>
      <c r="N954" s="22"/>
      <c r="O954" s="22"/>
      <c r="P954" s="22"/>
      <c r="Q954" s="27"/>
      <c r="R954" s="22"/>
      <c r="S954" s="22"/>
      <c r="T954" s="22"/>
      <c r="U954" s="22"/>
      <c r="V954" s="22"/>
      <c r="W954" s="22"/>
      <c r="X954" s="22"/>
      <c r="Y954" s="22"/>
      <c r="Z954" s="22"/>
      <c r="AA954" s="22"/>
      <c r="AB954" s="22"/>
    </row>
    <row r="955" spans="1:28" x14ac:dyDescent="0.3">
      <c r="A955" s="22"/>
      <c r="B955" s="22"/>
      <c r="C955" s="22"/>
      <c r="D955" s="22"/>
      <c r="E955" s="22"/>
      <c r="F955" s="22"/>
      <c r="G955" s="22"/>
      <c r="H955" s="22"/>
      <c r="I955" s="22"/>
      <c r="J955" s="22"/>
      <c r="K955" s="22"/>
      <c r="L955" s="22"/>
      <c r="M955" s="22"/>
      <c r="N955" s="22"/>
      <c r="O955" s="22"/>
      <c r="P955" s="22"/>
      <c r="Q955" s="27"/>
      <c r="R955" s="22"/>
      <c r="S955" s="22"/>
      <c r="T955" s="22"/>
      <c r="U955" s="22"/>
      <c r="V955" s="22"/>
      <c r="W955" s="22"/>
      <c r="X955" s="22"/>
      <c r="Y955" s="22"/>
      <c r="Z955" s="22"/>
      <c r="AA955" s="22"/>
      <c r="AB955" s="22"/>
    </row>
    <row r="956" spans="1:28" x14ac:dyDescent="0.3">
      <c r="A956" s="22"/>
      <c r="B956" s="22"/>
      <c r="C956" s="22"/>
      <c r="D956" s="22"/>
      <c r="E956" s="22"/>
      <c r="F956" s="22"/>
      <c r="G956" s="22"/>
      <c r="H956" s="22"/>
      <c r="I956" s="22"/>
      <c r="J956" s="22"/>
      <c r="K956" s="22"/>
      <c r="L956" s="22"/>
      <c r="M956" s="22"/>
      <c r="N956" s="22"/>
      <c r="O956" s="22"/>
      <c r="P956" s="22"/>
      <c r="Q956" s="27"/>
      <c r="R956" s="22"/>
      <c r="S956" s="22"/>
      <c r="T956" s="22"/>
      <c r="U956" s="22"/>
      <c r="V956" s="22"/>
      <c r="W956" s="22"/>
      <c r="X956" s="22"/>
      <c r="Y956" s="22"/>
      <c r="Z956" s="22"/>
      <c r="AA956" s="22"/>
      <c r="AB956" s="22"/>
    </row>
    <row r="957" spans="1:28" x14ac:dyDescent="0.3">
      <c r="A957" s="22"/>
      <c r="B957" s="22"/>
      <c r="C957" s="22"/>
      <c r="D957" s="22"/>
      <c r="E957" s="22"/>
      <c r="F957" s="22"/>
      <c r="G957" s="22"/>
      <c r="H957" s="22"/>
      <c r="I957" s="22"/>
      <c r="J957" s="22"/>
      <c r="K957" s="22"/>
      <c r="L957" s="22"/>
      <c r="M957" s="22"/>
      <c r="N957" s="22"/>
      <c r="O957" s="22"/>
      <c r="P957" s="22"/>
      <c r="Q957" s="27"/>
      <c r="R957" s="22"/>
      <c r="S957" s="22"/>
      <c r="T957" s="22"/>
      <c r="U957" s="22"/>
      <c r="V957" s="22"/>
      <c r="W957" s="22"/>
      <c r="X957" s="22"/>
      <c r="Y957" s="22"/>
      <c r="Z957" s="22"/>
      <c r="AA957" s="22"/>
      <c r="AB957" s="22"/>
    </row>
    <row r="958" spans="1:28" x14ac:dyDescent="0.3">
      <c r="A958" s="22"/>
      <c r="B958" s="22"/>
      <c r="C958" s="22"/>
      <c r="D958" s="22"/>
      <c r="E958" s="22"/>
      <c r="F958" s="22"/>
      <c r="G958" s="22"/>
      <c r="H958" s="22"/>
      <c r="I958" s="22"/>
      <c r="J958" s="22"/>
      <c r="K958" s="22"/>
      <c r="L958" s="22"/>
      <c r="M958" s="22"/>
      <c r="N958" s="22"/>
      <c r="O958" s="22"/>
      <c r="P958" s="22"/>
      <c r="Q958" s="27"/>
      <c r="R958" s="22"/>
      <c r="S958" s="22"/>
      <c r="T958" s="22"/>
      <c r="U958" s="22"/>
      <c r="V958" s="22"/>
      <c r="W958" s="22"/>
      <c r="X958" s="22"/>
      <c r="Y958" s="22"/>
      <c r="Z958" s="22"/>
      <c r="AA958" s="22"/>
      <c r="AB958" s="22"/>
    </row>
    <row r="959" spans="1:28" x14ac:dyDescent="0.3">
      <c r="A959" s="22"/>
      <c r="B959" s="22"/>
      <c r="C959" s="22"/>
      <c r="D959" s="22"/>
      <c r="E959" s="22"/>
      <c r="F959" s="22"/>
      <c r="G959" s="22"/>
      <c r="H959" s="22"/>
      <c r="I959" s="22"/>
      <c r="J959" s="22"/>
      <c r="K959" s="22"/>
      <c r="L959" s="22"/>
      <c r="M959" s="22"/>
      <c r="N959" s="22"/>
      <c r="O959" s="22"/>
      <c r="P959" s="22"/>
      <c r="Q959" s="27"/>
      <c r="R959" s="22"/>
      <c r="S959" s="22"/>
      <c r="T959" s="22"/>
      <c r="U959" s="22"/>
      <c r="V959" s="22"/>
      <c r="W959" s="22"/>
      <c r="X959" s="22"/>
      <c r="Y959" s="22"/>
      <c r="Z959" s="22"/>
      <c r="AA959" s="22"/>
      <c r="AB959" s="22"/>
    </row>
    <row r="960" spans="1:28" x14ac:dyDescent="0.3">
      <c r="A960" s="22"/>
      <c r="B960" s="22"/>
      <c r="C960" s="22"/>
      <c r="D960" s="22"/>
      <c r="E960" s="22"/>
      <c r="F960" s="22"/>
      <c r="G960" s="22"/>
      <c r="H960" s="22"/>
      <c r="I960" s="22"/>
      <c r="J960" s="22"/>
      <c r="K960" s="22"/>
      <c r="L960" s="22"/>
      <c r="M960" s="22"/>
      <c r="N960" s="22"/>
      <c r="O960" s="22"/>
      <c r="P960" s="22"/>
      <c r="Q960" s="27"/>
      <c r="R960" s="22"/>
      <c r="S960" s="22"/>
      <c r="T960" s="22"/>
      <c r="U960" s="22"/>
      <c r="V960" s="22"/>
      <c r="W960" s="22"/>
      <c r="X960" s="22"/>
      <c r="Y960" s="22"/>
      <c r="Z960" s="22"/>
      <c r="AA960" s="22"/>
      <c r="AB960" s="22"/>
    </row>
    <row r="961" spans="1:28" x14ac:dyDescent="0.3">
      <c r="A961" s="22"/>
      <c r="B961" s="22"/>
      <c r="C961" s="22"/>
      <c r="D961" s="22"/>
      <c r="E961" s="22"/>
      <c r="F961" s="22"/>
      <c r="G961" s="22"/>
      <c r="H961" s="22"/>
      <c r="I961" s="22"/>
      <c r="J961" s="22"/>
      <c r="K961" s="22"/>
      <c r="L961" s="22"/>
      <c r="M961" s="22"/>
      <c r="N961" s="22"/>
      <c r="O961" s="22"/>
      <c r="P961" s="22"/>
      <c r="Q961" s="27"/>
      <c r="R961" s="22"/>
      <c r="S961" s="22"/>
      <c r="T961" s="22"/>
      <c r="U961" s="22"/>
      <c r="V961" s="22"/>
      <c r="W961" s="22"/>
      <c r="X961" s="22"/>
      <c r="Y961" s="22"/>
      <c r="Z961" s="22"/>
      <c r="AA961" s="22"/>
      <c r="AB961" s="22"/>
    </row>
    <row r="962" spans="1:28" x14ac:dyDescent="0.3">
      <c r="A962" s="22"/>
      <c r="B962" s="22"/>
      <c r="C962" s="22"/>
      <c r="D962" s="22"/>
      <c r="E962" s="22"/>
      <c r="F962" s="22"/>
      <c r="G962" s="22"/>
      <c r="H962" s="22"/>
      <c r="I962" s="22"/>
      <c r="J962" s="22"/>
      <c r="K962" s="22"/>
      <c r="L962" s="22"/>
      <c r="M962" s="22"/>
      <c r="N962" s="22"/>
      <c r="O962" s="22"/>
      <c r="P962" s="22"/>
      <c r="Q962" s="27"/>
      <c r="R962" s="22"/>
      <c r="S962" s="22"/>
      <c r="T962" s="22"/>
      <c r="U962" s="22"/>
      <c r="V962" s="22"/>
      <c r="W962" s="22"/>
      <c r="X962" s="22"/>
      <c r="Y962" s="22"/>
      <c r="Z962" s="22"/>
      <c r="AA962" s="22"/>
      <c r="AB962" s="22"/>
    </row>
    <row r="963" spans="1:28" x14ac:dyDescent="0.3">
      <c r="A963" s="22"/>
      <c r="B963" s="22"/>
      <c r="C963" s="22"/>
      <c r="D963" s="22"/>
      <c r="E963" s="22"/>
      <c r="F963" s="22"/>
      <c r="G963" s="22"/>
      <c r="H963" s="22"/>
      <c r="I963" s="22"/>
      <c r="J963" s="22"/>
      <c r="K963" s="22"/>
      <c r="L963" s="22"/>
      <c r="M963" s="22"/>
      <c r="N963" s="22"/>
      <c r="O963" s="22"/>
      <c r="P963" s="22"/>
      <c r="Q963" s="27"/>
      <c r="R963" s="22"/>
      <c r="S963" s="22"/>
      <c r="T963" s="22"/>
      <c r="U963" s="22"/>
      <c r="V963" s="22"/>
      <c r="W963" s="22"/>
      <c r="X963" s="22"/>
      <c r="Y963" s="22"/>
      <c r="Z963" s="22"/>
      <c r="AA963" s="22"/>
      <c r="AB963" s="22"/>
    </row>
    <row r="964" spans="1:28" x14ac:dyDescent="0.3">
      <c r="A964" s="22"/>
      <c r="B964" s="22"/>
      <c r="C964" s="22"/>
      <c r="D964" s="22"/>
      <c r="E964" s="22"/>
      <c r="F964" s="22"/>
      <c r="G964" s="22"/>
      <c r="H964" s="22"/>
      <c r="I964" s="22"/>
      <c r="J964" s="22"/>
      <c r="K964" s="22"/>
      <c r="L964" s="22"/>
      <c r="M964" s="22"/>
      <c r="N964" s="22"/>
      <c r="O964" s="22"/>
      <c r="P964" s="22"/>
      <c r="Q964" s="27"/>
      <c r="R964" s="22"/>
      <c r="S964" s="22"/>
      <c r="T964" s="22"/>
      <c r="U964" s="22"/>
      <c r="V964" s="22"/>
      <c r="W964" s="22"/>
      <c r="X964" s="22"/>
      <c r="Y964" s="22"/>
      <c r="Z964" s="22"/>
      <c r="AA964" s="22"/>
      <c r="AB964" s="22"/>
    </row>
    <row r="965" spans="1:28" x14ac:dyDescent="0.3">
      <c r="A965" s="22"/>
      <c r="B965" s="22"/>
      <c r="C965" s="22"/>
      <c r="D965" s="22"/>
      <c r="E965" s="22"/>
      <c r="F965" s="22"/>
      <c r="G965" s="22"/>
      <c r="H965" s="22"/>
      <c r="I965" s="22"/>
      <c r="J965" s="22"/>
      <c r="K965" s="22"/>
      <c r="L965" s="22"/>
      <c r="M965" s="22"/>
      <c r="N965" s="22"/>
      <c r="O965" s="22"/>
      <c r="P965" s="22"/>
      <c r="Q965" s="27"/>
      <c r="R965" s="22"/>
      <c r="S965" s="22"/>
      <c r="T965" s="22"/>
      <c r="U965" s="22"/>
      <c r="V965" s="22"/>
      <c r="W965" s="22"/>
      <c r="X965" s="22"/>
      <c r="Y965" s="22"/>
      <c r="Z965" s="22"/>
      <c r="AA965" s="22"/>
      <c r="AB965" s="22"/>
    </row>
    <row r="966" spans="1:28" x14ac:dyDescent="0.3">
      <c r="A966" s="22"/>
      <c r="B966" s="22"/>
      <c r="C966" s="22"/>
      <c r="D966" s="22"/>
      <c r="E966" s="22"/>
      <c r="F966" s="22"/>
      <c r="G966" s="22"/>
      <c r="H966" s="22"/>
      <c r="I966" s="22"/>
      <c r="J966" s="22"/>
      <c r="K966" s="22"/>
      <c r="L966" s="22"/>
      <c r="M966" s="22"/>
      <c r="N966" s="22"/>
      <c r="O966" s="22"/>
      <c r="P966" s="22"/>
      <c r="Q966" s="27"/>
      <c r="R966" s="22"/>
      <c r="S966" s="22"/>
      <c r="T966" s="22"/>
      <c r="U966" s="22"/>
      <c r="V966" s="22"/>
      <c r="W966" s="22"/>
      <c r="X966" s="22"/>
      <c r="Y966" s="22"/>
      <c r="Z966" s="22"/>
      <c r="AA966" s="22"/>
      <c r="AB966" s="22"/>
    </row>
    <row r="967" spans="1:28" x14ac:dyDescent="0.3">
      <c r="A967" s="22"/>
      <c r="B967" s="22"/>
      <c r="C967" s="22"/>
      <c r="D967" s="22"/>
      <c r="E967" s="22"/>
      <c r="F967" s="22"/>
      <c r="G967" s="22"/>
      <c r="H967" s="22"/>
      <c r="I967" s="22"/>
      <c r="J967" s="22"/>
      <c r="K967" s="22"/>
      <c r="L967" s="22"/>
      <c r="M967" s="22"/>
      <c r="N967" s="22"/>
      <c r="O967" s="22"/>
      <c r="P967" s="22"/>
      <c r="Q967" s="27"/>
      <c r="R967" s="22"/>
      <c r="S967" s="22"/>
      <c r="T967" s="22"/>
      <c r="U967" s="22"/>
      <c r="V967" s="22"/>
      <c r="W967" s="22"/>
      <c r="X967" s="22"/>
      <c r="Y967" s="22"/>
      <c r="Z967" s="22"/>
      <c r="AA967" s="22"/>
      <c r="AB967" s="22"/>
    </row>
    <row r="968" spans="1:28" x14ac:dyDescent="0.3">
      <c r="A968" s="22"/>
      <c r="B968" s="22"/>
      <c r="C968" s="22"/>
      <c r="D968" s="22"/>
      <c r="E968" s="22"/>
      <c r="F968" s="22"/>
      <c r="G968" s="22"/>
      <c r="H968" s="22"/>
      <c r="I968" s="22"/>
      <c r="J968" s="22"/>
      <c r="K968" s="22"/>
      <c r="L968" s="22"/>
      <c r="M968" s="22"/>
      <c r="N968" s="22"/>
      <c r="O968" s="22"/>
      <c r="P968" s="22"/>
      <c r="Q968" s="27"/>
      <c r="R968" s="22"/>
      <c r="S968" s="22"/>
      <c r="T968" s="22"/>
      <c r="U968" s="22"/>
      <c r="V968" s="22"/>
      <c r="W968" s="22"/>
      <c r="X968" s="22"/>
      <c r="Y968" s="22"/>
      <c r="Z968" s="22"/>
      <c r="AA968" s="22"/>
      <c r="AB968" s="22"/>
    </row>
    <row r="969" spans="1:28" x14ac:dyDescent="0.3">
      <c r="A969" s="22"/>
      <c r="B969" s="22"/>
      <c r="C969" s="22"/>
      <c r="D969" s="22"/>
      <c r="E969" s="22"/>
      <c r="F969" s="22"/>
      <c r="G969" s="22"/>
      <c r="H969" s="22"/>
      <c r="I969" s="22"/>
      <c r="J969" s="22"/>
      <c r="K969" s="22"/>
      <c r="L969" s="22"/>
      <c r="M969" s="22"/>
      <c r="N969" s="22"/>
      <c r="O969" s="22"/>
      <c r="P969" s="22"/>
      <c r="Q969" s="27"/>
      <c r="R969" s="22"/>
      <c r="S969" s="22"/>
      <c r="T969" s="22"/>
      <c r="U969" s="22"/>
      <c r="V969" s="22"/>
      <c r="W969" s="22"/>
      <c r="X969" s="22"/>
      <c r="Y969" s="22"/>
      <c r="Z969" s="22"/>
      <c r="AA969" s="22"/>
      <c r="AB969" s="22"/>
    </row>
    <row r="970" spans="1:28" x14ac:dyDescent="0.3">
      <c r="A970" s="22"/>
      <c r="B970" s="22"/>
      <c r="C970" s="22"/>
      <c r="D970" s="22"/>
      <c r="E970" s="22"/>
      <c r="F970" s="22"/>
      <c r="G970" s="22"/>
      <c r="H970" s="22"/>
      <c r="I970" s="22"/>
      <c r="J970" s="22"/>
      <c r="K970" s="22"/>
      <c r="L970" s="22"/>
      <c r="M970" s="22"/>
      <c r="N970" s="22"/>
      <c r="O970" s="22"/>
      <c r="P970" s="22"/>
      <c r="Q970" s="27"/>
      <c r="R970" s="22"/>
      <c r="S970" s="22"/>
      <c r="T970" s="22"/>
      <c r="U970" s="22"/>
      <c r="V970" s="22"/>
      <c r="W970" s="22"/>
      <c r="X970" s="22"/>
      <c r="Y970" s="22"/>
      <c r="Z970" s="22"/>
      <c r="AA970" s="22"/>
      <c r="AB970" s="22"/>
    </row>
    <row r="971" spans="1:28" x14ac:dyDescent="0.3">
      <c r="A971" s="22"/>
      <c r="B971" s="22"/>
      <c r="C971" s="22"/>
      <c r="D971" s="22"/>
      <c r="E971" s="22"/>
      <c r="F971" s="22"/>
      <c r="G971" s="22"/>
      <c r="H971" s="22"/>
      <c r="I971" s="22"/>
      <c r="J971" s="22"/>
      <c r="K971" s="22"/>
      <c r="L971" s="22"/>
      <c r="M971" s="22"/>
      <c r="N971" s="22"/>
      <c r="O971" s="22"/>
      <c r="P971" s="22"/>
      <c r="Q971" s="27"/>
      <c r="R971" s="22"/>
      <c r="S971" s="22"/>
      <c r="T971" s="22"/>
      <c r="U971" s="22"/>
      <c r="V971" s="22"/>
      <c r="W971" s="22"/>
      <c r="X971" s="22"/>
      <c r="Y971" s="22"/>
      <c r="Z971" s="22"/>
      <c r="AA971" s="22"/>
      <c r="AB971" s="22"/>
    </row>
    <row r="972" spans="1:28" x14ac:dyDescent="0.3">
      <c r="A972" s="22"/>
      <c r="B972" s="22"/>
      <c r="C972" s="22"/>
      <c r="D972" s="22"/>
      <c r="E972" s="22"/>
      <c r="F972" s="22"/>
      <c r="G972" s="22"/>
      <c r="H972" s="22"/>
      <c r="I972" s="22"/>
      <c r="J972" s="22"/>
      <c r="K972" s="22"/>
      <c r="L972" s="22"/>
      <c r="M972" s="22"/>
      <c r="N972" s="22"/>
      <c r="O972" s="22"/>
      <c r="P972" s="22"/>
      <c r="Q972" s="27"/>
      <c r="R972" s="22"/>
      <c r="S972" s="22"/>
      <c r="T972" s="22"/>
      <c r="U972" s="22"/>
      <c r="V972" s="22"/>
      <c r="W972" s="22"/>
      <c r="X972" s="22"/>
      <c r="Y972" s="22"/>
      <c r="Z972" s="22"/>
      <c r="AA972" s="22"/>
      <c r="AB972" s="22"/>
    </row>
    <row r="973" spans="1:28" x14ac:dyDescent="0.3">
      <c r="A973" s="22"/>
      <c r="B973" s="22"/>
      <c r="C973" s="22"/>
      <c r="D973" s="22"/>
      <c r="E973" s="22"/>
      <c r="F973" s="22"/>
      <c r="G973" s="22"/>
      <c r="H973" s="22"/>
      <c r="I973" s="22"/>
      <c r="J973" s="22"/>
      <c r="K973" s="22"/>
      <c r="L973" s="22"/>
      <c r="M973" s="22"/>
      <c r="N973" s="22"/>
      <c r="O973" s="22"/>
      <c r="P973" s="22"/>
      <c r="Q973" s="27"/>
      <c r="R973" s="22"/>
      <c r="S973" s="22"/>
      <c r="T973" s="22"/>
      <c r="U973" s="22"/>
      <c r="V973" s="22"/>
      <c r="W973" s="22"/>
      <c r="X973" s="22"/>
      <c r="Y973" s="22"/>
      <c r="Z973" s="22"/>
      <c r="AA973" s="22"/>
      <c r="AB973" s="22"/>
    </row>
    <row r="974" spans="1:28" x14ac:dyDescent="0.3">
      <c r="A974" s="22"/>
      <c r="B974" s="22"/>
      <c r="C974" s="22"/>
      <c r="D974" s="22"/>
      <c r="E974" s="22"/>
      <c r="F974" s="22"/>
      <c r="G974" s="22"/>
      <c r="H974" s="22"/>
      <c r="I974" s="22"/>
      <c r="J974" s="22"/>
      <c r="K974" s="22"/>
      <c r="L974" s="22"/>
      <c r="M974" s="22"/>
      <c r="N974" s="22"/>
      <c r="O974" s="22"/>
      <c r="P974" s="22"/>
      <c r="Q974" s="27"/>
      <c r="R974" s="22"/>
      <c r="S974" s="22"/>
      <c r="T974" s="22"/>
      <c r="U974" s="22"/>
      <c r="V974" s="22"/>
      <c r="W974" s="22"/>
      <c r="X974" s="22"/>
      <c r="Y974" s="22"/>
      <c r="Z974" s="22"/>
      <c r="AA974" s="22"/>
      <c r="AB974" s="22"/>
    </row>
    <row r="975" spans="1:28" x14ac:dyDescent="0.3">
      <c r="A975" s="22"/>
      <c r="B975" s="22"/>
      <c r="C975" s="22"/>
      <c r="D975" s="22"/>
      <c r="E975" s="22"/>
      <c r="F975" s="22"/>
      <c r="G975" s="22"/>
      <c r="H975" s="22"/>
      <c r="I975" s="22"/>
      <c r="J975" s="22"/>
      <c r="K975" s="22"/>
      <c r="L975" s="22"/>
      <c r="M975" s="22"/>
      <c r="N975" s="22"/>
      <c r="O975" s="22"/>
      <c r="P975" s="22"/>
      <c r="Q975" s="27"/>
      <c r="R975" s="22"/>
      <c r="S975" s="22"/>
      <c r="T975" s="22"/>
      <c r="U975" s="22"/>
      <c r="V975" s="22"/>
      <c r="W975" s="22"/>
      <c r="X975" s="22"/>
      <c r="Y975" s="22"/>
      <c r="Z975" s="22"/>
      <c r="AA975" s="22"/>
      <c r="AB975" s="22"/>
    </row>
    <row r="976" spans="1:28" x14ac:dyDescent="0.3">
      <c r="A976" s="22"/>
      <c r="B976" s="22"/>
      <c r="C976" s="22"/>
      <c r="D976" s="22"/>
      <c r="E976" s="22"/>
      <c r="F976" s="22"/>
      <c r="G976" s="22"/>
      <c r="H976" s="22"/>
      <c r="I976" s="22"/>
      <c r="J976" s="22"/>
      <c r="K976" s="22"/>
      <c r="L976" s="22"/>
      <c r="M976" s="22"/>
      <c r="N976" s="22"/>
      <c r="O976" s="22"/>
      <c r="P976" s="22"/>
      <c r="Q976" s="27"/>
      <c r="R976" s="22"/>
      <c r="S976" s="22"/>
      <c r="T976" s="22"/>
      <c r="U976" s="22"/>
      <c r="V976" s="22"/>
      <c r="W976" s="22"/>
      <c r="X976" s="22"/>
      <c r="Y976" s="22"/>
      <c r="Z976" s="22"/>
      <c r="AA976" s="22"/>
      <c r="AB976" s="22"/>
    </row>
    <row r="977" spans="1:28" x14ac:dyDescent="0.3">
      <c r="A977" s="22"/>
      <c r="B977" s="22"/>
      <c r="C977" s="22"/>
      <c r="D977" s="22"/>
      <c r="E977" s="22"/>
      <c r="F977" s="22"/>
      <c r="G977" s="22"/>
      <c r="H977" s="22"/>
      <c r="I977" s="22"/>
      <c r="J977" s="22"/>
      <c r="K977" s="22"/>
      <c r="L977" s="22"/>
      <c r="M977" s="22"/>
      <c r="N977" s="22"/>
      <c r="O977" s="22"/>
      <c r="P977" s="22"/>
      <c r="Q977" s="27"/>
      <c r="R977" s="22"/>
      <c r="S977" s="22"/>
      <c r="T977" s="22"/>
      <c r="U977" s="22"/>
      <c r="V977" s="22"/>
      <c r="W977" s="22"/>
      <c r="X977" s="22"/>
      <c r="Y977" s="22"/>
      <c r="Z977" s="22"/>
      <c r="AA977" s="22"/>
      <c r="AB977" s="22"/>
    </row>
    <row r="978" spans="1:28" x14ac:dyDescent="0.3">
      <c r="A978" s="22"/>
      <c r="B978" s="22"/>
      <c r="C978" s="22"/>
      <c r="D978" s="22"/>
      <c r="E978" s="22"/>
      <c r="F978" s="22"/>
      <c r="G978" s="22"/>
      <c r="H978" s="22"/>
      <c r="I978" s="22"/>
      <c r="J978" s="22"/>
      <c r="K978" s="22"/>
      <c r="L978" s="22"/>
      <c r="M978" s="22"/>
      <c r="N978" s="22"/>
      <c r="O978" s="22"/>
      <c r="P978" s="22"/>
      <c r="Q978" s="27"/>
      <c r="R978" s="22"/>
      <c r="S978" s="22"/>
      <c r="T978" s="22"/>
      <c r="U978" s="22"/>
      <c r="V978" s="22"/>
      <c r="W978" s="22"/>
      <c r="X978" s="22"/>
      <c r="Y978" s="22"/>
      <c r="Z978" s="22"/>
      <c r="AA978" s="22"/>
      <c r="AB978" s="22"/>
    </row>
    <row r="979" spans="1:28" x14ac:dyDescent="0.3">
      <c r="A979" s="22"/>
      <c r="B979" s="22"/>
      <c r="C979" s="22"/>
      <c r="D979" s="22"/>
      <c r="E979" s="22"/>
      <c r="F979" s="22"/>
      <c r="G979" s="22"/>
      <c r="H979" s="22"/>
      <c r="I979" s="22"/>
      <c r="J979" s="22"/>
      <c r="K979" s="22"/>
      <c r="L979" s="22"/>
      <c r="M979" s="22"/>
      <c r="N979" s="22"/>
      <c r="O979" s="22"/>
      <c r="P979" s="22"/>
      <c r="Q979" s="27"/>
      <c r="R979" s="22"/>
      <c r="S979" s="22"/>
      <c r="T979" s="22"/>
      <c r="U979" s="22"/>
      <c r="V979" s="22"/>
      <c r="W979" s="22"/>
      <c r="X979" s="22"/>
      <c r="Y979" s="22"/>
      <c r="Z979" s="22"/>
      <c r="AA979" s="22"/>
      <c r="AB979" s="22"/>
    </row>
    <row r="980" spans="1:28" x14ac:dyDescent="0.3">
      <c r="A980" s="22"/>
      <c r="B980" s="22"/>
      <c r="C980" s="22"/>
      <c r="D980" s="22"/>
      <c r="E980" s="22"/>
      <c r="F980" s="22"/>
      <c r="G980" s="22"/>
      <c r="H980" s="22"/>
      <c r="I980" s="22"/>
      <c r="J980" s="22"/>
      <c r="K980" s="22"/>
      <c r="L980" s="22"/>
      <c r="M980" s="22"/>
      <c r="N980" s="22"/>
      <c r="O980" s="22"/>
      <c r="P980" s="22"/>
      <c r="Q980" s="27"/>
      <c r="R980" s="22"/>
      <c r="S980" s="22"/>
      <c r="T980" s="22"/>
      <c r="U980" s="22"/>
      <c r="V980" s="22"/>
      <c r="W980" s="22"/>
      <c r="X980" s="22"/>
      <c r="Y980" s="22"/>
      <c r="Z980" s="22"/>
      <c r="AA980" s="22"/>
      <c r="AB980" s="22"/>
    </row>
    <row r="981" spans="1:28" x14ac:dyDescent="0.3">
      <c r="A981" s="22"/>
      <c r="B981" s="22"/>
      <c r="C981" s="22"/>
      <c r="D981" s="22"/>
      <c r="E981" s="22"/>
      <c r="F981" s="22"/>
      <c r="G981" s="22"/>
      <c r="H981" s="22"/>
      <c r="I981" s="22"/>
      <c r="J981" s="22"/>
      <c r="K981" s="22"/>
      <c r="L981" s="22"/>
      <c r="M981" s="22"/>
      <c r="N981" s="22"/>
      <c r="O981" s="22"/>
      <c r="P981" s="22"/>
      <c r="Q981" s="27"/>
      <c r="R981" s="22"/>
      <c r="S981" s="22"/>
      <c r="T981" s="22"/>
      <c r="U981" s="22"/>
      <c r="V981" s="22"/>
      <c r="W981" s="22"/>
      <c r="X981" s="22"/>
      <c r="Y981" s="22"/>
      <c r="Z981" s="22"/>
      <c r="AA981" s="22"/>
      <c r="AB981" s="22"/>
    </row>
    <row r="982" spans="1:28" x14ac:dyDescent="0.3">
      <c r="A982" s="22"/>
      <c r="B982" s="22"/>
      <c r="C982" s="22"/>
      <c r="D982" s="22"/>
      <c r="E982" s="22"/>
      <c r="F982" s="22"/>
      <c r="G982" s="22"/>
      <c r="H982" s="22"/>
      <c r="I982" s="22"/>
      <c r="J982" s="22"/>
      <c r="K982" s="22"/>
      <c r="L982" s="22"/>
      <c r="M982" s="22"/>
      <c r="N982" s="22"/>
      <c r="O982" s="22"/>
      <c r="P982" s="22"/>
      <c r="Q982" s="27"/>
      <c r="R982" s="22"/>
      <c r="S982" s="22"/>
      <c r="T982" s="22"/>
      <c r="U982" s="22"/>
      <c r="V982" s="22"/>
      <c r="W982" s="22"/>
      <c r="X982" s="22"/>
      <c r="Y982" s="22"/>
      <c r="Z982" s="22"/>
      <c r="AA982" s="22"/>
      <c r="AB982" s="22"/>
    </row>
    <row r="983" spans="1:28" x14ac:dyDescent="0.3">
      <c r="A983" s="22"/>
      <c r="B983" s="22"/>
      <c r="C983" s="22"/>
      <c r="D983" s="22"/>
      <c r="E983" s="22"/>
      <c r="F983" s="22"/>
      <c r="G983" s="22"/>
      <c r="H983" s="22"/>
      <c r="I983" s="22"/>
      <c r="J983" s="22"/>
      <c r="K983" s="22"/>
      <c r="L983" s="22"/>
      <c r="M983" s="22"/>
      <c r="N983" s="22"/>
      <c r="O983" s="22"/>
      <c r="P983" s="22"/>
      <c r="Q983" s="27"/>
      <c r="R983" s="22"/>
      <c r="S983" s="22"/>
      <c r="T983" s="22"/>
      <c r="U983" s="22"/>
      <c r="V983" s="22"/>
      <c r="W983" s="22"/>
      <c r="X983" s="22"/>
      <c r="Y983" s="22"/>
      <c r="Z983" s="22"/>
      <c r="AA983" s="22"/>
      <c r="AB983" s="22"/>
    </row>
    <row r="984" spans="1:28" x14ac:dyDescent="0.3">
      <c r="A984" s="22"/>
      <c r="B984" s="22"/>
      <c r="C984" s="22"/>
      <c r="D984" s="22"/>
      <c r="E984" s="22"/>
      <c r="F984" s="22"/>
      <c r="G984" s="22"/>
      <c r="H984" s="22"/>
      <c r="I984" s="22"/>
      <c r="J984" s="22"/>
      <c r="K984" s="22"/>
      <c r="L984" s="22"/>
      <c r="M984" s="22"/>
      <c r="N984" s="22"/>
      <c r="O984" s="22"/>
      <c r="P984" s="22"/>
      <c r="Q984" s="27"/>
      <c r="R984" s="22"/>
      <c r="S984" s="22"/>
      <c r="T984" s="22"/>
      <c r="U984" s="22"/>
      <c r="V984" s="22"/>
      <c r="W984" s="22"/>
      <c r="X984" s="22"/>
      <c r="Y984" s="22"/>
      <c r="Z984" s="22"/>
      <c r="AA984" s="22"/>
      <c r="AB984" s="22"/>
    </row>
    <row r="985" spans="1:28" x14ac:dyDescent="0.3">
      <c r="A985" s="22"/>
      <c r="B985" s="22"/>
      <c r="C985" s="22"/>
      <c r="D985" s="22"/>
      <c r="E985" s="22"/>
      <c r="F985" s="22"/>
      <c r="G985" s="22"/>
      <c r="H985" s="22"/>
      <c r="I985" s="22"/>
      <c r="J985" s="22"/>
      <c r="K985" s="22"/>
      <c r="L985" s="22"/>
      <c r="M985" s="22"/>
      <c r="N985" s="22"/>
      <c r="O985" s="22"/>
      <c r="P985" s="22"/>
      <c r="Q985" s="27"/>
      <c r="R985" s="22"/>
      <c r="S985" s="22"/>
      <c r="T985" s="22"/>
      <c r="U985" s="22"/>
      <c r="V985" s="22"/>
      <c r="W985" s="22"/>
      <c r="X985" s="22"/>
      <c r="Y985" s="22"/>
      <c r="Z985" s="22"/>
      <c r="AA985" s="22"/>
      <c r="AB985" s="22"/>
    </row>
    <row r="986" spans="1:28" x14ac:dyDescent="0.3">
      <c r="A986" s="22"/>
      <c r="B986" s="22"/>
      <c r="C986" s="22"/>
      <c r="D986" s="22"/>
      <c r="E986" s="22"/>
      <c r="F986" s="22"/>
      <c r="G986" s="22"/>
      <c r="H986" s="22"/>
      <c r="I986" s="22"/>
      <c r="J986" s="22"/>
      <c r="K986" s="22"/>
      <c r="L986" s="22"/>
      <c r="M986" s="22"/>
      <c r="N986" s="22"/>
      <c r="O986" s="22"/>
      <c r="P986" s="22"/>
      <c r="Q986" s="27"/>
      <c r="R986" s="22"/>
      <c r="S986" s="22"/>
      <c r="T986" s="22"/>
      <c r="U986" s="22"/>
      <c r="V986" s="22"/>
      <c r="W986" s="22"/>
      <c r="X986" s="22"/>
      <c r="Y986" s="22"/>
      <c r="Z986" s="22"/>
      <c r="AA986" s="22"/>
      <c r="AB986" s="22"/>
    </row>
    <row r="987" spans="1:28" x14ac:dyDescent="0.3">
      <c r="A987" s="22"/>
      <c r="B987" s="22"/>
      <c r="C987" s="22"/>
      <c r="D987" s="22"/>
      <c r="E987" s="22"/>
      <c r="F987" s="22"/>
      <c r="G987" s="22"/>
      <c r="H987" s="22"/>
      <c r="I987" s="22"/>
      <c r="J987" s="22"/>
      <c r="K987" s="22"/>
      <c r="L987" s="22"/>
      <c r="M987" s="22"/>
      <c r="N987" s="22"/>
      <c r="O987" s="22"/>
      <c r="P987" s="22"/>
      <c r="Q987" s="27"/>
      <c r="R987" s="22"/>
      <c r="S987" s="22"/>
      <c r="T987" s="22"/>
      <c r="U987" s="22"/>
      <c r="V987" s="22"/>
      <c r="W987" s="22"/>
      <c r="X987" s="22"/>
      <c r="Y987" s="22"/>
      <c r="Z987" s="22"/>
      <c r="AA987" s="22"/>
      <c r="AB987" s="22"/>
    </row>
    <row r="988" spans="1:28" x14ac:dyDescent="0.3">
      <c r="A988" s="22"/>
      <c r="B988" s="22"/>
      <c r="C988" s="22"/>
      <c r="D988" s="22"/>
      <c r="E988" s="22"/>
      <c r="F988" s="22"/>
      <c r="G988" s="22"/>
      <c r="H988" s="22"/>
      <c r="I988" s="22"/>
      <c r="J988" s="22"/>
      <c r="K988" s="22"/>
      <c r="L988" s="22"/>
      <c r="M988" s="22"/>
      <c r="N988" s="22"/>
      <c r="O988" s="22"/>
      <c r="P988" s="22"/>
      <c r="Q988" s="27"/>
      <c r="R988" s="22"/>
      <c r="S988" s="22"/>
      <c r="T988" s="22"/>
      <c r="U988" s="22"/>
      <c r="V988" s="22"/>
      <c r="W988" s="22"/>
      <c r="X988" s="22"/>
      <c r="Y988" s="22"/>
      <c r="Z988" s="22"/>
      <c r="AA988" s="22"/>
      <c r="AB988" s="22"/>
    </row>
    <row r="989" spans="1:28" x14ac:dyDescent="0.3">
      <c r="A989" s="22"/>
      <c r="B989" s="22"/>
      <c r="C989" s="22"/>
      <c r="D989" s="22"/>
      <c r="E989" s="22"/>
      <c r="F989" s="22"/>
      <c r="G989" s="22"/>
      <c r="H989" s="22"/>
      <c r="I989" s="22"/>
      <c r="J989" s="22"/>
      <c r="K989" s="22"/>
      <c r="L989" s="22"/>
      <c r="M989" s="22"/>
      <c r="N989" s="22"/>
      <c r="O989" s="22"/>
      <c r="P989" s="22"/>
      <c r="Q989" s="27"/>
      <c r="R989" s="22"/>
      <c r="S989" s="22"/>
      <c r="T989" s="22"/>
      <c r="U989" s="22"/>
      <c r="V989" s="22"/>
      <c r="W989" s="22"/>
      <c r="X989" s="22"/>
      <c r="Y989" s="22"/>
      <c r="Z989" s="22"/>
      <c r="AA989" s="22"/>
      <c r="AB989" s="22"/>
    </row>
    <row r="990" spans="1:28" x14ac:dyDescent="0.3">
      <c r="A990" s="22"/>
      <c r="B990" s="22"/>
      <c r="C990" s="22"/>
      <c r="D990" s="22"/>
      <c r="E990" s="22"/>
      <c r="F990" s="22"/>
      <c r="G990" s="22"/>
      <c r="H990" s="22"/>
      <c r="I990" s="22"/>
      <c r="J990" s="22"/>
      <c r="K990" s="22"/>
      <c r="L990" s="22"/>
      <c r="M990" s="22"/>
      <c r="N990" s="22"/>
      <c r="O990" s="22"/>
      <c r="P990" s="22"/>
      <c r="Q990" s="27"/>
      <c r="R990" s="22"/>
      <c r="S990" s="22"/>
      <c r="T990" s="22"/>
      <c r="U990" s="22"/>
      <c r="V990" s="22"/>
      <c r="W990" s="22"/>
      <c r="X990" s="22"/>
      <c r="Y990" s="22"/>
      <c r="Z990" s="22"/>
      <c r="AA990" s="22"/>
      <c r="AB990" s="22"/>
    </row>
    <row r="991" spans="1:28" x14ac:dyDescent="0.3">
      <c r="A991" s="22"/>
      <c r="B991" s="22"/>
      <c r="C991" s="22"/>
      <c r="D991" s="22"/>
      <c r="E991" s="22"/>
      <c r="F991" s="22"/>
      <c r="G991" s="22"/>
      <c r="H991" s="22"/>
      <c r="I991" s="22"/>
      <c r="J991" s="22"/>
      <c r="K991" s="22"/>
      <c r="L991" s="22"/>
      <c r="M991" s="22"/>
      <c r="N991" s="22"/>
      <c r="O991" s="22"/>
      <c r="P991" s="22"/>
      <c r="Q991" s="27"/>
      <c r="R991" s="22"/>
      <c r="S991" s="22"/>
      <c r="T991" s="22"/>
      <c r="U991" s="22"/>
      <c r="V991" s="22"/>
      <c r="W991" s="22"/>
      <c r="X991" s="22"/>
      <c r="Y991" s="22"/>
      <c r="Z991" s="22"/>
      <c r="AA991" s="22"/>
      <c r="AB991" s="22"/>
    </row>
    <row r="992" spans="1:28" x14ac:dyDescent="0.3">
      <c r="A992" s="22"/>
      <c r="B992" s="22"/>
      <c r="C992" s="22"/>
      <c r="D992" s="22"/>
      <c r="E992" s="22"/>
      <c r="F992" s="22"/>
      <c r="G992" s="22"/>
      <c r="H992" s="22"/>
      <c r="I992" s="22"/>
      <c r="J992" s="22"/>
      <c r="K992" s="22"/>
      <c r="L992" s="22"/>
      <c r="M992" s="22"/>
      <c r="N992" s="22"/>
      <c r="O992" s="22"/>
      <c r="P992" s="22"/>
      <c r="Q992" s="27"/>
      <c r="R992" s="22"/>
      <c r="S992" s="22"/>
      <c r="T992" s="22"/>
      <c r="U992" s="22"/>
      <c r="V992" s="22"/>
      <c r="W992" s="22"/>
      <c r="X992" s="22"/>
      <c r="Y992" s="22"/>
      <c r="Z992" s="22"/>
      <c r="AA992" s="22"/>
      <c r="AB992" s="22"/>
    </row>
    <row r="993" spans="1:28" x14ac:dyDescent="0.3">
      <c r="A993" s="22"/>
      <c r="B993" s="22"/>
      <c r="C993" s="22"/>
      <c r="D993" s="22"/>
      <c r="E993" s="22"/>
      <c r="F993" s="22"/>
      <c r="G993" s="22"/>
      <c r="H993" s="22"/>
      <c r="I993" s="22"/>
      <c r="J993" s="22"/>
      <c r="K993" s="22"/>
      <c r="L993" s="22"/>
      <c r="M993" s="22"/>
      <c r="N993" s="22"/>
      <c r="O993" s="22"/>
      <c r="P993" s="22"/>
      <c r="Q993" s="27"/>
      <c r="R993" s="22"/>
      <c r="S993" s="22"/>
      <c r="T993" s="22"/>
      <c r="U993" s="22"/>
      <c r="V993" s="22"/>
      <c r="W993" s="22"/>
      <c r="X993" s="22"/>
      <c r="Y993" s="22"/>
      <c r="Z993" s="22"/>
      <c r="AA993" s="22"/>
      <c r="AB993" s="22"/>
    </row>
    <row r="994" spans="1:28" x14ac:dyDescent="0.3">
      <c r="A994" s="22"/>
      <c r="B994" s="22"/>
      <c r="C994" s="22"/>
      <c r="D994" s="22"/>
      <c r="E994" s="22"/>
      <c r="F994" s="22"/>
      <c r="G994" s="22"/>
      <c r="H994" s="22"/>
      <c r="I994" s="22"/>
      <c r="J994" s="22"/>
      <c r="K994" s="22"/>
      <c r="L994" s="22"/>
      <c r="M994" s="22"/>
      <c r="N994" s="22"/>
      <c r="O994" s="22"/>
      <c r="P994" s="22"/>
      <c r="Q994" s="27"/>
      <c r="R994" s="22"/>
      <c r="S994" s="22"/>
      <c r="T994" s="22"/>
      <c r="U994" s="22"/>
      <c r="V994" s="22"/>
      <c r="W994" s="22"/>
      <c r="X994" s="22"/>
      <c r="Y994" s="22"/>
      <c r="Z994" s="22"/>
      <c r="AA994" s="22"/>
      <c r="AB994" s="22"/>
    </row>
    <row r="995" spans="1:28" x14ac:dyDescent="0.3">
      <c r="A995" s="22"/>
      <c r="B995" s="22"/>
      <c r="C995" s="22"/>
      <c r="D995" s="22"/>
      <c r="E995" s="22"/>
      <c r="F995" s="22"/>
      <c r="G995" s="22"/>
      <c r="H995" s="22"/>
      <c r="I995" s="22"/>
      <c r="J995" s="22"/>
      <c r="K995" s="22"/>
      <c r="L995" s="22"/>
      <c r="M995" s="22"/>
      <c r="N995" s="22"/>
      <c r="O995" s="22"/>
      <c r="P995" s="22"/>
      <c r="Q995" s="27"/>
      <c r="R995" s="22"/>
      <c r="S995" s="22"/>
      <c r="T995" s="22"/>
      <c r="U995" s="22"/>
      <c r="V995" s="22"/>
      <c r="W995" s="22"/>
      <c r="X995" s="22"/>
      <c r="Y995" s="22"/>
      <c r="Z995" s="22"/>
      <c r="AA995" s="22"/>
      <c r="AB995" s="22"/>
    </row>
    <row r="996" spans="1:28" x14ac:dyDescent="0.3">
      <c r="A996" s="22"/>
      <c r="B996" s="22"/>
      <c r="C996" s="22"/>
      <c r="D996" s="22"/>
      <c r="E996" s="22"/>
      <c r="F996" s="22"/>
      <c r="G996" s="22"/>
      <c r="H996" s="22"/>
      <c r="I996" s="22"/>
      <c r="J996" s="22"/>
      <c r="K996" s="22"/>
      <c r="L996" s="22"/>
      <c r="M996" s="22"/>
      <c r="N996" s="22"/>
      <c r="O996" s="22"/>
      <c r="P996" s="22"/>
      <c r="Q996" s="27"/>
      <c r="R996" s="22"/>
      <c r="S996" s="22"/>
      <c r="T996" s="22"/>
      <c r="U996" s="22"/>
      <c r="V996" s="22"/>
      <c r="W996" s="22"/>
      <c r="X996" s="22"/>
      <c r="Y996" s="22"/>
      <c r="Z996" s="22"/>
      <c r="AA996" s="22"/>
      <c r="AB996" s="22"/>
    </row>
    <row r="997" spans="1:28" x14ac:dyDescent="0.3">
      <c r="A997" s="22"/>
      <c r="B997" s="22"/>
      <c r="C997" s="22"/>
      <c r="D997" s="22"/>
      <c r="E997" s="22"/>
      <c r="F997" s="22"/>
      <c r="G997" s="22"/>
      <c r="H997" s="22"/>
      <c r="I997" s="22"/>
      <c r="J997" s="22"/>
      <c r="K997" s="22"/>
      <c r="L997" s="22"/>
      <c r="M997" s="22"/>
      <c r="N997" s="22"/>
      <c r="O997" s="22"/>
      <c r="P997" s="22"/>
      <c r="Q997" s="27"/>
      <c r="R997" s="22"/>
      <c r="S997" s="22"/>
      <c r="T997" s="22"/>
      <c r="U997" s="22"/>
      <c r="V997" s="22"/>
      <c r="W997" s="22"/>
      <c r="X997" s="22"/>
      <c r="Y997" s="22"/>
      <c r="Z997" s="22"/>
      <c r="AA997" s="22"/>
      <c r="AB997" s="22"/>
    </row>
    <row r="998" spans="1:28" x14ac:dyDescent="0.3">
      <c r="A998" s="22"/>
      <c r="B998" s="22"/>
      <c r="C998" s="22"/>
      <c r="D998" s="22"/>
      <c r="E998" s="22"/>
      <c r="F998" s="22"/>
      <c r="G998" s="22"/>
      <c r="H998" s="22"/>
      <c r="I998" s="22"/>
      <c r="J998" s="22"/>
      <c r="K998" s="22"/>
      <c r="L998" s="22"/>
      <c r="M998" s="22"/>
      <c r="N998" s="22"/>
      <c r="O998" s="22"/>
      <c r="P998" s="22"/>
      <c r="Q998" s="27"/>
      <c r="R998" s="22"/>
      <c r="S998" s="22"/>
      <c r="T998" s="22"/>
      <c r="U998" s="22"/>
      <c r="V998" s="22"/>
      <c r="W998" s="22"/>
      <c r="X998" s="22"/>
      <c r="Y998" s="22"/>
      <c r="Z998" s="22"/>
      <c r="AA998" s="22"/>
      <c r="AB998" s="22"/>
    </row>
  </sheetData>
  <autoFilter ref="A5:AB994" xr:uid="{FB637172-D208-4753-BD13-40BDA43CF032}"/>
  <mergeCells count="1">
    <mergeCell ref="T4:AA4"/>
  </mergeCells>
  <dataValidations count="3">
    <dataValidation type="list" allowBlank="1" showInputMessage="1" showErrorMessage="1" sqref="K6:K423" xr:uid="{2D681EC4-4505-4E0A-ABD5-7DA48AB71C36}">
      <formula1>"Day,Evening,Night"</formula1>
    </dataValidation>
    <dataValidation type="list" allowBlank="1" showInputMessage="1" showErrorMessage="1" sqref="P6:P423 T6:AA423 E6:G423" xr:uid="{2E3E8710-4171-4788-A3E5-94FF6F5999F2}">
      <formula1>"Yes, No"</formula1>
    </dataValidation>
    <dataValidation type="list" allowBlank="1" showInputMessage="1" showErrorMessage="1" sqref="S6:S423" xr:uid="{33D9850C-CDA7-44D9-BF2A-A6CDE66B156D}">
      <formula1>"Facility,ER,Admitted"</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CC8427BA-7B34-4329-BE6E-3AD8D8FB062A}">
          <x14:formula1>
            <xm:f>ref!$B$2:$B$12</xm:f>
          </x14:formula1>
          <xm:sqref>N6:N423</xm:sqref>
        </x14:dataValidation>
        <x14:dataValidation type="list" allowBlank="1" showInputMessage="1" showErrorMessage="1" xr:uid="{6E1DC0B7-C987-4072-B7F9-E8A3CE98C8ED}">
          <x14:formula1>
            <xm:f>ref!$E$2:$E$8</xm:f>
          </x14:formula1>
          <xm:sqref>Q6:Q423</xm:sqref>
        </x14:dataValidation>
        <x14:dataValidation type="list" allowBlank="1" showInputMessage="1" showErrorMessage="1" xr:uid="{AD6430D5-55AC-4BA0-9F32-62ED65234B61}">
          <x14:formula1>
            <xm:f>'Unit Designation'!$A$9:$A$29</xm:f>
          </x14:formula1>
          <xm:sqref>A6:A423</xm:sqref>
        </x14:dataValidation>
        <x14:dataValidation type="list" allowBlank="1" showInputMessage="1" showErrorMessage="1" xr:uid="{61F6A5CC-5DC2-44FD-86DB-FFE7F5B64499}">
          <x14:formula1>
            <xm:f>ref!$D$2:$D$8</xm:f>
          </x14:formula1>
          <xm:sqref>O6:O465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83D8E-0B87-48E4-9B88-91A09D31519E}">
  <dimension ref="A1:L29"/>
  <sheetViews>
    <sheetView showGridLines="0" workbookViewId="0">
      <pane ySplit="1" topLeftCell="A2" activePane="bottomLeft" state="frozen"/>
      <selection pane="bottomLeft" activeCell="M13" sqref="M13"/>
    </sheetView>
  </sheetViews>
  <sheetFormatPr defaultColWidth="9.140625" defaultRowHeight="16.5" x14ac:dyDescent="0.3"/>
  <cols>
    <col min="1" max="1" width="27.7109375" style="7" customWidth="1"/>
    <col min="2" max="2" width="59" style="7" customWidth="1"/>
    <col min="3" max="3" width="3.42578125" style="7" customWidth="1"/>
    <col min="4" max="4" width="1.7109375" style="7" customWidth="1"/>
    <col min="5" max="5" width="8.7109375" style="7" customWidth="1"/>
    <col min="6" max="16384" width="9.140625" style="7"/>
  </cols>
  <sheetData>
    <row r="1" spans="1:12" ht="60.6" customHeight="1" x14ac:dyDescent="0.3">
      <c r="A1" s="186" t="s">
        <v>2884</v>
      </c>
      <c r="B1" s="187"/>
      <c r="C1" s="187"/>
      <c r="D1" s="187"/>
      <c r="E1" s="187"/>
      <c r="F1" s="187"/>
      <c r="G1" s="6"/>
      <c r="H1" s="6"/>
      <c r="I1" s="6"/>
      <c r="J1" s="6"/>
      <c r="K1" s="6"/>
      <c r="L1" s="6"/>
    </row>
    <row r="3" spans="1:12" ht="20.25" x14ac:dyDescent="0.35">
      <c r="A3" s="11" t="s">
        <v>2885</v>
      </c>
    </row>
    <row r="4" spans="1:12" ht="17.25" x14ac:dyDescent="0.3">
      <c r="A4" s="28" t="s">
        <v>2886</v>
      </c>
    </row>
    <row r="5" spans="1:12" ht="17.25" x14ac:dyDescent="0.3">
      <c r="A5" s="28" t="s">
        <v>2887</v>
      </c>
    </row>
    <row r="6" spans="1:12" ht="17.25" x14ac:dyDescent="0.3">
      <c r="A6" s="28" t="s">
        <v>2888</v>
      </c>
    </row>
    <row r="8" spans="1:12" ht="28.9" customHeight="1" x14ac:dyDescent="0.3">
      <c r="A8" s="127" t="s">
        <v>2889</v>
      </c>
      <c r="B8" s="128" t="s">
        <v>2890</v>
      </c>
    </row>
    <row r="9" spans="1:12" ht="20.25" x14ac:dyDescent="0.35">
      <c r="A9" s="29" t="s">
        <v>2891</v>
      </c>
      <c r="B9" s="30"/>
    </row>
    <row r="10" spans="1:12" ht="20.25" x14ac:dyDescent="0.35">
      <c r="A10" s="29" t="s">
        <v>2892</v>
      </c>
      <c r="B10" s="30"/>
    </row>
    <row r="11" spans="1:12" ht="20.25" x14ac:dyDescent="0.35">
      <c r="A11" s="29" t="s">
        <v>2893</v>
      </c>
      <c r="B11" s="30"/>
    </row>
    <row r="12" spans="1:12" ht="20.25" x14ac:dyDescent="0.35">
      <c r="A12" s="29"/>
      <c r="B12" s="30"/>
    </row>
    <row r="13" spans="1:12" ht="20.25" x14ac:dyDescent="0.35">
      <c r="A13" s="29"/>
      <c r="B13" s="30"/>
    </row>
    <row r="14" spans="1:12" ht="20.25" x14ac:dyDescent="0.35">
      <c r="A14" s="29"/>
      <c r="B14" s="30"/>
    </row>
    <row r="15" spans="1:12" ht="20.25" x14ac:dyDescent="0.35">
      <c r="A15" s="29"/>
      <c r="B15" s="30"/>
    </row>
    <row r="16" spans="1:12" ht="20.25" x14ac:dyDescent="0.35">
      <c r="A16" s="29"/>
      <c r="B16" s="30"/>
    </row>
    <row r="17" spans="1:2" ht="20.25" x14ac:dyDescent="0.35">
      <c r="A17" s="29"/>
      <c r="B17" s="30"/>
    </row>
    <row r="18" spans="1:2" ht="20.25" x14ac:dyDescent="0.35">
      <c r="A18" s="29"/>
      <c r="B18" s="30"/>
    </row>
    <row r="19" spans="1:2" ht="20.25" x14ac:dyDescent="0.35">
      <c r="A19" s="29"/>
      <c r="B19" s="30"/>
    </row>
    <row r="20" spans="1:2" ht="20.25" x14ac:dyDescent="0.35">
      <c r="A20" s="29"/>
      <c r="B20" s="30"/>
    </row>
    <row r="21" spans="1:2" ht="20.25" x14ac:dyDescent="0.35">
      <c r="A21" s="29"/>
      <c r="B21" s="30"/>
    </row>
    <row r="22" spans="1:2" ht="20.25" x14ac:dyDescent="0.35">
      <c r="A22" s="29"/>
      <c r="B22" s="30"/>
    </row>
    <row r="23" spans="1:2" ht="20.25" x14ac:dyDescent="0.35">
      <c r="A23" s="29"/>
      <c r="B23" s="30"/>
    </row>
    <row r="24" spans="1:2" ht="20.25" x14ac:dyDescent="0.35">
      <c r="A24" s="29"/>
      <c r="B24" s="30"/>
    </row>
    <row r="25" spans="1:2" ht="20.25" x14ac:dyDescent="0.35">
      <c r="A25" s="29"/>
      <c r="B25" s="30"/>
    </row>
    <row r="26" spans="1:2" ht="20.25" x14ac:dyDescent="0.35">
      <c r="A26" s="29"/>
      <c r="B26" s="30"/>
    </row>
    <row r="27" spans="1:2" ht="20.25" x14ac:dyDescent="0.35">
      <c r="A27" s="29"/>
      <c r="B27" s="30"/>
    </row>
    <row r="28" spans="1:2" ht="20.25" x14ac:dyDescent="0.35">
      <c r="A28" s="29"/>
      <c r="B28" s="30"/>
    </row>
    <row r="29" spans="1:2" ht="20.25" x14ac:dyDescent="0.35">
      <c r="A29" s="31"/>
      <c r="B29" s="32"/>
    </row>
  </sheetData>
  <mergeCells count="1">
    <mergeCell ref="A1:F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0433E-7BBB-418A-B821-9F617085C738}">
  <dimension ref="A1:X110"/>
  <sheetViews>
    <sheetView showGridLines="0" tabSelected="1" zoomScale="90" zoomScaleNormal="110" workbookViewId="0">
      <pane ySplit="2" topLeftCell="A16" activePane="bottomLeft" state="frozen"/>
      <selection pane="bottomLeft" activeCell="R2" sqref="R2"/>
    </sheetView>
  </sheetViews>
  <sheetFormatPr defaultColWidth="8.85546875" defaultRowHeight="16.5" x14ac:dyDescent="0.3"/>
  <cols>
    <col min="1" max="1" width="3.28515625" style="46" customWidth="1"/>
    <col min="2" max="2" width="2.85546875" style="46" customWidth="1"/>
    <col min="3" max="3" width="42.28515625" style="33" customWidth="1"/>
    <col min="4" max="4" width="29.42578125" style="33" customWidth="1"/>
    <col min="5" max="5" width="13.7109375" style="33" customWidth="1"/>
    <col min="6" max="6" width="13.7109375" style="34" customWidth="1"/>
    <col min="7" max="7" width="13.7109375" style="33" customWidth="1"/>
    <col min="8" max="8" width="13.85546875" style="34" customWidth="1"/>
    <col min="9" max="9" width="16.140625" style="33" customWidth="1"/>
    <col min="10" max="10" width="17.28515625" style="33" customWidth="1"/>
    <col min="11" max="11" width="16.28515625" style="33" customWidth="1"/>
    <col min="12" max="12" width="16.5703125" style="33" customWidth="1"/>
    <col min="13" max="13" width="8.85546875" style="33"/>
    <col min="14" max="14" width="13.28515625" style="33" customWidth="1"/>
    <col min="15" max="15" width="11.7109375" style="33" customWidth="1"/>
    <col min="16" max="16" width="8.85546875" style="33"/>
    <col min="17" max="17" width="17" style="33" customWidth="1"/>
    <col min="18" max="18" width="18.140625" style="33" customWidth="1"/>
    <col min="19" max="16384" width="8.85546875" style="33"/>
  </cols>
  <sheetData>
    <row r="1" spans="3:15" ht="17.25" thickBot="1" x14ac:dyDescent="0.35">
      <c r="C1" s="7"/>
      <c r="D1" s="7"/>
      <c r="E1" s="7"/>
      <c r="F1" s="69"/>
      <c r="G1" s="7"/>
      <c r="H1" s="69"/>
      <c r="I1" s="7"/>
      <c r="J1" s="7"/>
      <c r="K1" s="7"/>
      <c r="L1" s="7"/>
      <c r="M1" s="7"/>
      <c r="N1" s="7"/>
      <c r="O1" s="7"/>
    </row>
    <row r="2" spans="3:15" ht="60.6" customHeight="1" thickBot="1" x14ac:dyDescent="0.35">
      <c r="C2" s="152" t="s">
        <v>2884</v>
      </c>
      <c r="D2" s="153"/>
      <c r="E2" s="153"/>
      <c r="F2" s="153"/>
      <c r="G2" s="153"/>
      <c r="H2" s="153"/>
      <c r="I2" s="153"/>
      <c r="J2" s="153"/>
      <c r="K2" s="153"/>
      <c r="L2" s="153"/>
      <c r="M2" s="153"/>
      <c r="N2" s="153"/>
      <c r="O2" s="154"/>
    </row>
    <row r="3" spans="3:15" ht="53.45" customHeight="1" thickBot="1" x14ac:dyDescent="0.35">
      <c r="C3" s="66" t="s">
        <v>2894</v>
      </c>
      <c r="D3" s="7"/>
      <c r="E3" s="7"/>
      <c r="F3" s="69"/>
      <c r="G3" s="7"/>
      <c r="H3" s="69"/>
      <c r="I3" s="7"/>
      <c r="J3" s="7"/>
      <c r="K3" s="7"/>
      <c r="L3" s="7"/>
      <c r="M3" s="7"/>
      <c r="N3" s="67" t="s">
        <v>6</v>
      </c>
      <c r="O3" s="101">
        <f ca="1">TODAY()</f>
        <v>46183</v>
      </c>
    </row>
    <row r="4" spans="3:15" ht="27.75" thickTop="1" thickBot="1" x14ac:dyDescent="0.5">
      <c r="C4" s="7"/>
      <c r="D4" s="36"/>
      <c r="E4" s="37" t="s">
        <v>5</v>
      </c>
      <c r="F4" s="38" t="s">
        <v>2895</v>
      </c>
      <c r="G4" s="37" t="s">
        <v>2896</v>
      </c>
      <c r="H4" s="69"/>
      <c r="I4" s="7"/>
      <c r="J4" s="7"/>
      <c r="K4" s="7"/>
      <c r="L4" s="7"/>
      <c r="M4" s="7"/>
      <c r="N4" s="7"/>
      <c r="O4" s="7"/>
    </row>
    <row r="5" spans="3:15" ht="45" customHeight="1" thickTop="1" thickBot="1" x14ac:dyDescent="0.35">
      <c r="C5" s="177" t="s">
        <v>2897</v>
      </c>
      <c r="D5" s="177"/>
      <c r="E5" s="39" t="s">
        <v>2891</v>
      </c>
      <c r="F5" s="40" t="s">
        <v>2892</v>
      </c>
      <c r="G5" s="39" t="s">
        <v>2893</v>
      </c>
      <c r="H5" s="69"/>
      <c r="I5" s="7"/>
      <c r="J5" s="7"/>
      <c r="K5" s="7"/>
      <c r="L5" s="7"/>
      <c r="M5" s="7"/>
      <c r="N5" s="7"/>
      <c r="O5" s="7"/>
    </row>
    <row r="6" spans="3:15" ht="42" customHeight="1" thickTop="1" thickBot="1" x14ac:dyDescent="0.35">
      <c r="C6" s="72"/>
      <c r="D6" s="72"/>
      <c r="E6" s="7"/>
      <c r="F6" s="69"/>
      <c r="G6" s="7"/>
      <c r="H6" s="69"/>
      <c r="I6" s="192" t="s">
        <v>2898</v>
      </c>
      <c r="J6" s="102" t="str">
        <f>rank!F3</f>
        <v>Unit 1</v>
      </c>
      <c r="K6" s="102" t="str">
        <f>rank!F4</f>
        <v>Unit 2</v>
      </c>
      <c r="L6" s="102" t="str">
        <f>rank!F5</f>
        <v>Unit 3</v>
      </c>
      <c r="M6" s="7"/>
      <c r="N6" s="7"/>
      <c r="O6" s="7"/>
    </row>
    <row r="7" spans="3:15" ht="70.5" customHeight="1" thickTop="1" thickBot="1" x14ac:dyDescent="0.35">
      <c r="C7" s="177" t="s">
        <v>2899</v>
      </c>
      <c r="D7" s="177"/>
      <c r="E7" s="73">
        <v>46174</v>
      </c>
      <c r="F7" s="69"/>
      <c r="G7" s="41"/>
      <c r="H7" s="69"/>
      <c r="I7" s="192"/>
      <c r="J7" s="103">
        <f>rank!G3</f>
        <v>0</v>
      </c>
      <c r="K7" s="103">
        <f>rank!G4</f>
        <v>0</v>
      </c>
      <c r="L7" s="103">
        <f>rank!G5</f>
        <v>0</v>
      </c>
      <c r="M7" s="7"/>
      <c r="N7" s="7"/>
      <c r="O7" s="7"/>
    </row>
    <row r="8" spans="3:15" ht="29.45" customHeight="1" thickTop="1" thickBot="1" x14ac:dyDescent="0.35">
      <c r="C8" s="177" t="s">
        <v>2900</v>
      </c>
      <c r="D8" s="177"/>
      <c r="E8" s="74">
        <v>46023</v>
      </c>
      <c r="F8" s="69"/>
      <c r="G8" s="7"/>
      <c r="H8" s="69"/>
      <c r="I8" s="7"/>
      <c r="J8" s="7"/>
      <c r="K8" s="7"/>
      <c r="L8" s="7"/>
      <c r="M8" s="7"/>
      <c r="N8" s="7"/>
      <c r="O8" s="7"/>
    </row>
    <row r="9" spans="3:15" ht="29.45" customHeight="1" thickTop="1" x14ac:dyDescent="0.3">
      <c r="C9" s="72"/>
      <c r="D9" s="72"/>
      <c r="E9" s="104"/>
      <c r="F9" s="69"/>
      <c r="G9" s="41"/>
      <c r="H9" s="69"/>
      <c r="I9" s="7"/>
      <c r="J9" s="7"/>
      <c r="K9" s="7"/>
      <c r="L9" s="7"/>
      <c r="M9" s="7"/>
      <c r="N9" s="7"/>
      <c r="O9" s="7"/>
    </row>
    <row r="10" spans="3:15" ht="29.45" customHeight="1" x14ac:dyDescent="0.3">
      <c r="C10" s="72"/>
      <c r="D10" s="72"/>
      <c r="E10" s="104"/>
      <c r="F10" s="69"/>
      <c r="G10" s="41"/>
      <c r="H10" s="69"/>
      <c r="I10" s="7"/>
      <c r="J10" s="7"/>
      <c r="K10" s="7"/>
      <c r="L10" s="7"/>
      <c r="M10" s="7"/>
      <c r="N10" s="7"/>
      <c r="O10" s="7"/>
    </row>
    <row r="11" spans="3:15" ht="29.45" customHeight="1" x14ac:dyDescent="0.3">
      <c r="C11" s="72"/>
      <c r="D11" s="72"/>
      <c r="E11" s="104"/>
      <c r="F11" s="69"/>
      <c r="G11" s="41"/>
      <c r="H11" s="69"/>
      <c r="I11" s="7"/>
      <c r="J11" s="7"/>
      <c r="K11" s="7"/>
      <c r="L11" s="7"/>
      <c r="M11" s="7"/>
      <c r="N11" s="7"/>
      <c r="O11" s="7"/>
    </row>
    <row r="12" spans="3:15" ht="64.150000000000006" customHeight="1" x14ac:dyDescent="0.3">
      <c r="C12" s="72"/>
      <c r="D12" s="72"/>
      <c r="E12" s="104"/>
      <c r="F12" s="69"/>
      <c r="G12" s="41"/>
      <c r="H12" s="69"/>
      <c r="I12" s="7"/>
      <c r="J12" s="7"/>
      <c r="K12" s="7"/>
      <c r="L12" s="7"/>
      <c r="M12" s="7"/>
      <c r="N12" s="7"/>
      <c r="O12" s="7"/>
    </row>
    <row r="13" spans="3:15" ht="29.45" customHeight="1" x14ac:dyDescent="0.3">
      <c r="C13" s="72"/>
      <c r="D13" s="72"/>
      <c r="E13" s="104"/>
      <c r="F13" s="69"/>
      <c r="G13" s="41"/>
      <c r="H13" s="69"/>
      <c r="I13" s="7"/>
      <c r="J13" s="7"/>
      <c r="K13" s="7"/>
      <c r="L13" s="7"/>
      <c r="M13" s="7"/>
      <c r="N13" s="7"/>
      <c r="O13" s="7"/>
    </row>
    <row r="14" spans="3:15" ht="29.45" customHeight="1" x14ac:dyDescent="0.3">
      <c r="C14" s="72"/>
      <c r="D14" s="72"/>
      <c r="E14" s="104"/>
      <c r="F14" s="69"/>
      <c r="G14" s="41"/>
      <c r="H14" s="69"/>
      <c r="I14" s="7"/>
      <c r="J14" s="7"/>
      <c r="K14" s="7"/>
      <c r="L14" s="7"/>
      <c r="M14" s="7"/>
      <c r="N14" s="7"/>
      <c r="O14" s="7"/>
    </row>
    <row r="15" spans="3:15" ht="23.45" customHeight="1" thickBot="1" x14ac:dyDescent="0.35">
      <c r="C15" s="7"/>
      <c r="D15" s="7"/>
      <c r="E15" s="8"/>
      <c r="F15" s="75"/>
      <c r="G15" s="28"/>
      <c r="H15" s="75"/>
      <c r="I15" s="7"/>
      <c r="J15" s="7"/>
      <c r="K15" s="7"/>
      <c r="L15" s="7"/>
      <c r="M15" s="7"/>
      <c r="N15" s="7"/>
      <c r="O15" s="7"/>
    </row>
    <row r="16" spans="3:15" ht="21.75" customHeight="1" thickTop="1" thickBot="1" x14ac:dyDescent="0.4">
      <c r="C16" s="76" t="s">
        <v>10</v>
      </c>
      <c r="D16" s="77"/>
      <c r="E16" s="168">
        <f>$E$7</f>
        <v>46174</v>
      </c>
      <c r="F16" s="168"/>
      <c r="G16" s="169" t="s">
        <v>11</v>
      </c>
      <c r="H16" s="169"/>
      <c r="I16" s="212" t="s">
        <v>12</v>
      </c>
      <c r="J16" s="213"/>
      <c r="K16" s="194"/>
      <c r="L16" s="179" t="s">
        <v>2901</v>
      </c>
      <c r="M16" s="179"/>
      <c r="N16" s="179"/>
      <c r="O16" s="179"/>
    </row>
    <row r="17" spans="2:15" ht="18.75" thickTop="1" thickBot="1" x14ac:dyDescent="0.35">
      <c r="C17" s="61"/>
      <c r="D17" s="62"/>
      <c r="E17" s="105" t="s">
        <v>14</v>
      </c>
      <c r="F17" s="106" t="s">
        <v>15</v>
      </c>
      <c r="G17" s="105" t="s">
        <v>14</v>
      </c>
      <c r="H17" s="106" t="s">
        <v>15</v>
      </c>
      <c r="I17" s="212"/>
      <c r="J17" s="213"/>
      <c r="K17" s="194"/>
      <c r="L17" s="179"/>
      <c r="M17" s="179"/>
      <c r="N17" s="179"/>
      <c r="O17" s="179"/>
    </row>
    <row r="18" spans="2:15" ht="18.75" thickTop="1" thickBot="1" x14ac:dyDescent="0.35">
      <c r="B18" s="46">
        <v>1</v>
      </c>
      <c r="C18" s="129" t="s">
        <v>16</v>
      </c>
      <c r="D18" s="130" t="s">
        <v>3</v>
      </c>
      <c r="E18" s="135">
        <f>COUNTIFS('Falls Data Entry'!$H$6:$H$423,"&lt;&gt;"&amp;" ",'Falls Data Entry'!$H$6:$H$423,"&gt;="&amp;DATE(YEAR('Falls Summary'!$E$7),MONTH('Falls Summary'!$E$7),1),'Falls Data Entry'!$H$6:$H$423,"&lt;="&amp;EOMONTH(DATE(YEAR('Falls Summary'!$E$7),MONTH('Falls Summary'!$E$7),1),0))</f>
        <v>0</v>
      </c>
      <c r="F18" s="136" t="str">
        <f>IFERROR(E18/E$18," ")</f>
        <v xml:space="preserve"> </v>
      </c>
      <c r="G18" s="137">
        <f>COUNTIFS('Falls Data Entry'!$H$6:$H$423,"&lt;&gt;"&amp;" ",'Falls Data Entry'!$H$6:$H$423,"&gt;="&amp;DATE(YEAR(VALUE('Falls Summary'!$E$8)),1,1),'Falls Data Entry'!$H$6:$H$423,"&lt;="&amp;DATE(YEAR(VALUE('Falls Summary'!$E$8)),12,31))</f>
        <v>0</v>
      </c>
      <c r="H18" s="138" t="str">
        <f>IFERROR(G18/G$18," ")</f>
        <v xml:space="preserve"> </v>
      </c>
      <c r="I18" s="7"/>
      <c r="J18" s="7"/>
      <c r="K18" s="7"/>
      <c r="L18" s="46" t="str">
        <f>_xlfn.XLOOKUP(L16,$C$18:$C$41,$B$18:$B$41,"",0)</f>
        <v/>
      </c>
      <c r="M18" s="7"/>
      <c r="N18" s="7"/>
      <c r="O18" s="7"/>
    </row>
    <row r="19" spans="2:15" ht="18" thickTop="1" x14ac:dyDescent="0.3">
      <c r="B19" s="46">
        <v>1</v>
      </c>
      <c r="C19" s="83"/>
      <c r="D19" s="84" t="str">
        <f>IF(ISNONTEXT($E$5),"",$E$5)</f>
        <v>Unit 1</v>
      </c>
      <c r="E19" s="16">
        <f>COUNTIFS('Falls Data Entry'!$H$6:$H$423,"&lt;&gt;"&amp;" ",'Falls Data Entry'!$H$6:$H$423,"&gt;="&amp;DATE(YEAR('Falls Summary'!$E$7),MONTH('Falls Summary'!$E$7),1),'Falls Data Entry'!$H$6:$H$423,"&lt;="&amp;EOMONTH(DATE(YEAR('Falls Summary'!$E$7),MONTH('Falls Summary'!$E$7),1),0),'Falls Data Entry'!$A$6:$A$423,D19)</f>
        <v>0</v>
      </c>
      <c r="F19" s="95" t="str">
        <f>IFERROR(E19/E$18," ")</f>
        <v xml:space="preserve"> </v>
      </c>
      <c r="G19" s="16">
        <f>COUNTIFS('Falls Data Entry'!$H$6:$H$423,"&lt;&gt;"&amp;" ",'Falls Data Entry'!$H$6:$H$423,"&gt;="&amp;DATE(YEAR(VALUE('Falls Summary'!$E$8)),1,1),'Falls Data Entry'!$H$6:$H$423,"&lt;="&amp;DATE(YEAR(VALUE('Falls Summary'!$E$8)),12,31),'Falls Data Entry'!$A$6:$A$423,D19)</f>
        <v>0</v>
      </c>
      <c r="H19" s="95" t="str">
        <f>IFERROR(G19/G$18," ")</f>
        <v xml:space="preserve"> </v>
      </c>
      <c r="I19" s="7"/>
      <c r="J19" s="7"/>
      <c r="K19" s="7"/>
      <c r="L19" s="7"/>
      <c r="M19" s="7"/>
      <c r="N19" s="7"/>
      <c r="O19" s="7"/>
    </row>
    <row r="20" spans="2:15" ht="17.25" x14ac:dyDescent="0.3">
      <c r="B20" s="46">
        <v>1</v>
      </c>
      <c r="C20" s="83"/>
      <c r="D20" s="84" t="str">
        <f>IF(ISNONTEXT($F$5),"",$F$5)</f>
        <v>Unit 2</v>
      </c>
      <c r="E20" s="22">
        <f>COUNTIFS('Falls Data Entry'!$H$6:$H$423,"&lt;&gt;"&amp;" ",'Falls Data Entry'!$H$6:$H$423,"&gt;="&amp;DATE(YEAR('Falls Summary'!$E$7),MONTH('Falls Summary'!$E$7),1),'Falls Data Entry'!$H$6:$H$423,"&lt;="&amp;EOMONTH(DATE(YEAR('Falls Summary'!$E$7),MONTH('Falls Summary'!$E$7),1),0),'Falls Data Entry'!$A$6:$A$423,D20)</f>
        <v>0</v>
      </c>
      <c r="F20" s="82" t="str">
        <f>IFERROR(E20/E$18," ")</f>
        <v xml:space="preserve"> </v>
      </c>
      <c r="G20" s="22">
        <f>COUNTIFS('Falls Data Entry'!$H$6:$H$423,"&lt;&gt;"&amp;" ",'Falls Data Entry'!$H$6:$H$423,"&gt;="&amp;DATE(YEAR(VALUE('Falls Summary'!$E$8)),1,1),'Falls Data Entry'!$H$6:$H$423,"&lt;="&amp;DATE(YEAR(VALUE('Falls Summary'!$E$8)),12,31),'Falls Data Entry'!$A$6:$A$423,D20)</f>
        <v>0</v>
      </c>
      <c r="H20" s="82" t="str">
        <f t="shared" ref="H20:H21" si="0">IFERROR(G20/G$18," ")</f>
        <v xml:space="preserve"> </v>
      </c>
      <c r="I20" s="7"/>
      <c r="J20" s="81"/>
      <c r="K20" s="85">
        <f>$E$7</f>
        <v>46174</v>
      </c>
      <c r="L20" s="79" t="s">
        <v>11</v>
      </c>
      <c r="M20" s="7"/>
      <c r="N20" s="7"/>
      <c r="O20" s="7"/>
    </row>
    <row r="21" spans="2:15" ht="18" thickBot="1" x14ac:dyDescent="0.35">
      <c r="B21" s="46">
        <v>1</v>
      </c>
      <c r="C21" s="83"/>
      <c r="D21" s="84" t="str">
        <f>IF(ISNONTEXT($G$5),"",$G$5)</f>
        <v>Unit 3</v>
      </c>
      <c r="E21" s="133">
        <f>COUNTIFS('Falls Data Entry'!$H$6:$H$423,"&lt;&gt;"&amp;" ",'Falls Data Entry'!$H$6:$H$423,"&gt;="&amp;DATE(YEAR('Falls Summary'!$E$7),MONTH('Falls Summary'!$E$7),1),'Falls Data Entry'!$H$6:$H$423,"&lt;="&amp;EOMONTH(DATE(YEAR('Falls Summary'!$E$7),MONTH('Falls Summary'!$E$7),1),0),'Falls Data Entry'!$A$6:$A$423,D21)</f>
        <v>0</v>
      </c>
      <c r="F21" s="134" t="str">
        <f>IFERROR(E21/E$18," ")</f>
        <v xml:space="preserve"> </v>
      </c>
      <c r="G21" s="133">
        <f>COUNTIFS('Falls Data Entry'!$H$6:$H$423,"&lt;&gt;"&amp;" ",'Falls Data Entry'!$H$6:$H$423,"&gt;="&amp;DATE(YEAR(VALUE('Falls Summary'!$E$8)),1,1),'Falls Data Entry'!$H$6:$H$423,"&lt;="&amp;DATE(YEAR(VALUE('Falls Summary'!$E$8)),12,31),'Falls Data Entry'!$A$6:$A$423,D21)</f>
        <v>0</v>
      </c>
      <c r="H21" s="134" t="str">
        <f t="shared" si="0"/>
        <v xml:space="preserve"> </v>
      </c>
      <c r="I21" s="7"/>
      <c r="J21" s="84" t="str">
        <f>IF(ISNONTEXT($E$5),"",$E$5)</f>
        <v>Unit 1</v>
      </c>
      <c r="K21" s="86" t="str" cm="1">
        <f t="array" ref="K21">_xlfn.XLOOKUP(J21&amp;$L$18,$D$18:$D$41&amp;$B$18:$B$41,$F$18:$F$41,"",0)</f>
        <v/>
      </c>
      <c r="L21" s="86" t="str" cm="1">
        <f t="array" ref="L21">_xlfn.XLOOKUP(J21&amp;$L$18,$D$18:$D$41&amp;$B$18:$B$41,$H$18:$H$41,"",0)</f>
        <v/>
      </c>
      <c r="M21" s="7"/>
      <c r="N21" s="7"/>
      <c r="O21" s="7"/>
    </row>
    <row r="22" spans="2:15" ht="18.75" thickTop="1" thickBot="1" x14ac:dyDescent="0.35">
      <c r="B22" s="46">
        <v>2</v>
      </c>
      <c r="C22" s="129" t="s">
        <v>2902</v>
      </c>
      <c r="D22" s="130" t="s">
        <v>3</v>
      </c>
      <c r="E22" s="135">
        <f>COUNTIFS('Falls Data Entry'!$H$6:$H$423,"&lt;&gt;"&amp;" ",'Falls Data Entry'!$E$6:$E$423,"="&amp;"YES",'Falls Data Entry'!$H$6:$H$423,"&gt;="&amp;DATE(YEAR('Falls Summary'!$E$7),MONTH('Falls Summary'!$E$7),1),'Falls Data Entry'!$H$6:$H$423,"&lt;="&amp;EOMONTH(DATE(YEAR('Falls Summary'!$E$7),MONTH('Falls Summary'!$E$7),1),0))</f>
        <v>0</v>
      </c>
      <c r="F22" s="136" t="str">
        <f>IFERROR(E22/E$18," ")</f>
        <v xml:space="preserve"> </v>
      </c>
      <c r="G22" s="137">
        <f>COUNTIFS('Falls Data Entry'!$H$6:$H$423,"&lt;&gt;"&amp;" ",'Falls Data Entry'!$E$6:$E$423,"="&amp;"YES",'Falls Data Entry'!$H$6:$H$423,"&gt;="&amp;DATE(YEAR(VALUE('Falls Summary'!$E$8)),1,1),'Falls Data Entry'!$H$6:$H$423,"&lt;="&amp;DATE(YEAR(VALUE('Falls Summary'!$E$8)),12,31))</f>
        <v>0</v>
      </c>
      <c r="H22" s="138" t="str">
        <f>IFERROR(G22/G$18," ")</f>
        <v xml:space="preserve"> </v>
      </c>
      <c r="I22" s="7"/>
      <c r="J22" s="84" t="str">
        <f>IF(ISNONTEXT($F$5),"",$F$5)</f>
        <v>Unit 2</v>
      </c>
      <c r="K22" s="86" t="str" cm="1">
        <f t="array" ref="K22">_xlfn.XLOOKUP(J22&amp;$L$18,$D$18:$D$41&amp;$B$18:$B$41,$F$18:$F$41,"",0)</f>
        <v/>
      </c>
      <c r="L22" s="86" t="str" cm="1">
        <f t="array" ref="L22">_xlfn.XLOOKUP(J22&amp;$L$18,$D$18:$D$41&amp;$B$18:$B$41,$H$18:$H$41,"",0)</f>
        <v/>
      </c>
      <c r="M22" s="7"/>
      <c r="N22" s="7"/>
      <c r="O22" s="7"/>
    </row>
    <row r="23" spans="2:15" ht="18" thickTop="1" x14ac:dyDescent="0.3">
      <c r="B23" s="46">
        <v>2</v>
      </c>
      <c r="C23" s="83"/>
      <c r="D23" s="84" t="str">
        <f>IF(ISNONTEXT($E$5),"",$E$5)</f>
        <v>Unit 1</v>
      </c>
      <c r="E23" s="16">
        <f>COUNTIFS('Falls Data Entry'!$H$6:$H$423,"&lt;&gt;"&amp;" ",'Falls Data Entry'!$E$6:$E$423,"="&amp;"YES",'Falls Data Entry'!$H$6:$H$423,"&gt;="&amp;DATE(YEAR('Falls Summary'!$E$7),MONTH('Falls Summary'!$E$7),1),'Falls Data Entry'!$H$6:$H$423,"&lt;="&amp;EOMONTH(DATE(YEAR('Falls Summary'!$E$7),MONTH('Falls Summary'!$E$7),1),0),'Falls Data Entry'!$A$6:$A$423,D23)</f>
        <v>0</v>
      </c>
      <c r="F23" s="95" t="str">
        <f>IFERROR(E23/E$19," ")</f>
        <v xml:space="preserve"> </v>
      </c>
      <c r="G23" s="16">
        <f>COUNTIFS('Falls Data Entry'!$H$6:$H$423,"&lt;&gt;"&amp;" ",'Falls Data Entry'!$E$6:$E$423,"="&amp;"YES",'Falls Data Entry'!$H$6:$H$423,"&gt;="&amp;DATE(YEAR(VALUE('Falls Summary'!$E$8)),1,1),'Falls Data Entry'!$H$6:$H$423,"&lt;="&amp;DATE(YEAR(VALUE('Falls Summary'!$E$8)),12,31),'Falls Data Entry'!$A$6:$A$423,D23)</f>
        <v>0</v>
      </c>
      <c r="H23" s="95" t="str">
        <f>IFERROR(G23/G$19," ")</f>
        <v xml:space="preserve"> </v>
      </c>
      <c r="I23" s="7"/>
      <c r="J23" s="84" t="str">
        <f>IF(ISNONTEXT($G$5),"",$G$5)</f>
        <v>Unit 3</v>
      </c>
      <c r="K23" s="86" t="str" cm="1">
        <f t="array" ref="K23">_xlfn.XLOOKUP(J23&amp;$L$18,$D$18:$D$41&amp;$B$18:$B$41,$F$18:$F$41,"",0)</f>
        <v/>
      </c>
      <c r="L23" s="86" t="str" cm="1">
        <f t="array" ref="L23">_xlfn.XLOOKUP(J23&amp;$L$18,$D$18:$D$41&amp;$B$18:$B$41,$H$18:$H$41,"",0)</f>
        <v/>
      </c>
      <c r="M23" s="7"/>
      <c r="N23" s="7"/>
      <c r="O23" s="7"/>
    </row>
    <row r="24" spans="2:15" ht="17.25" x14ac:dyDescent="0.3">
      <c r="B24" s="46">
        <v>2</v>
      </c>
      <c r="C24" s="83"/>
      <c r="D24" s="84" t="str">
        <f>IF(ISNONTEXT($F$5),"",$F$5)</f>
        <v>Unit 2</v>
      </c>
      <c r="E24" s="22">
        <f>COUNTIFS('Falls Data Entry'!$H$6:$H$423,"&lt;&gt;"&amp;" ",'Falls Data Entry'!$E$6:$E$423,"="&amp;"YES",'Falls Data Entry'!$H$6:$H$423,"&gt;="&amp;DATE(YEAR('Falls Summary'!$E$7),MONTH('Falls Summary'!$E$7),1),'Falls Data Entry'!$H$6:$H$423,"&lt;="&amp;EOMONTH(DATE(YEAR('Falls Summary'!$E$7),MONTH('Falls Summary'!$E$7),1),0),'Falls Data Entry'!$A$6:$A$423,D24)</f>
        <v>0</v>
      </c>
      <c r="F24" s="82" t="str">
        <f>IFERROR(E24/E$20," ")</f>
        <v xml:space="preserve"> </v>
      </c>
      <c r="G24" s="22">
        <f>COUNTIFS('Falls Data Entry'!$H$6:$H$423,"&lt;&gt;"&amp;" ",'Falls Data Entry'!$E$6:$E$423,"="&amp;"YES",'Falls Data Entry'!$H$6:$H$423,"&gt;="&amp;DATE(YEAR(VALUE('Falls Summary'!$E$8)),1,1),'Falls Data Entry'!$H$6:$H$423,"&lt;="&amp;DATE(YEAR(VALUE('Falls Summary'!$E$8)),12,31),'Falls Data Entry'!$A$6:$A$423,D24)</f>
        <v>0</v>
      </c>
      <c r="H24" s="82" t="str">
        <f>IFERROR(G24/G$20," ")</f>
        <v xml:space="preserve"> </v>
      </c>
      <c r="I24" s="7"/>
      <c r="J24" s="84" t="s">
        <v>3</v>
      </c>
      <c r="K24" s="45" t="str" cm="1">
        <f t="array" ref="K24">_xlfn.XLOOKUP(J24&amp;$L$18,$D$18:$D$41&amp;$B$18:$B$41,$F$18:$F$41,"",0)</f>
        <v/>
      </c>
      <c r="L24" s="45" t="str" cm="1">
        <f t="array" ref="L24">_xlfn.XLOOKUP(J24&amp;$L$18,$D$18:$D$41&amp;$B$18:$B$41,$H$18:$H$41,"",0)</f>
        <v/>
      </c>
      <c r="M24" s="7"/>
      <c r="N24" s="7"/>
      <c r="O24" s="7"/>
    </row>
    <row r="25" spans="2:15" ht="18" thickBot="1" x14ac:dyDescent="0.35">
      <c r="B25" s="46">
        <v>2</v>
      </c>
      <c r="C25" s="83"/>
      <c r="D25" s="84" t="str">
        <f>IF(ISNONTEXT($G$5),"",$G$5)</f>
        <v>Unit 3</v>
      </c>
      <c r="E25" s="133">
        <f>COUNTIFS('Falls Data Entry'!$H$6:$H$423,"&lt;&gt;"&amp;" ",'Falls Data Entry'!$E$6:$E$423,"="&amp;"YES",'Falls Data Entry'!$H$6:$H$423,"&gt;="&amp;DATE(YEAR('Falls Summary'!$E$7),MONTH('Falls Summary'!$E$7),1),'Falls Data Entry'!$H$6:$H$423,"&lt;="&amp;EOMONTH(DATE(YEAR('Falls Summary'!$E$7),MONTH('Falls Summary'!$E$7),1),0),'Falls Data Entry'!$A$6:$A$423,D25)</f>
        <v>0</v>
      </c>
      <c r="F25" s="134" t="str">
        <f>IFERROR(E25/E$21," ")</f>
        <v xml:space="preserve"> </v>
      </c>
      <c r="G25" s="133">
        <f>COUNTIFS('Falls Data Entry'!$H$6:$H$423,"&lt;&gt;"&amp;" ",'Falls Data Entry'!$E$6:$E$423,"="&amp;"YES",'Falls Data Entry'!$H$6:$H$423,"&gt;="&amp;DATE(YEAR(VALUE('Falls Summary'!$E$8)),1,1),'Falls Data Entry'!$H$6:$H$423,"&lt;="&amp;DATE(YEAR(VALUE('Falls Summary'!$E$8)),12,31),'Falls Data Entry'!$A$6:$A$423,D25)</f>
        <v>0</v>
      </c>
      <c r="H25" s="134" t="str">
        <f>IFERROR(G25/G$21," ")</f>
        <v xml:space="preserve"> </v>
      </c>
      <c r="I25" s="7"/>
      <c r="J25" s="7"/>
      <c r="K25" s="7"/>
      <c r="L25" s="7"/>
      <c r="M25" s="7"/>
      <c r="N25" s="7"/>
      <c r="O25" s="7"/>
    </row>
    <row r="26" spans="2:15" ht="18.75" thickTop="1" thickBot="1" x14ac:dyDescent="0.35">
      <c r="B26" s="46">
        <v>3</v>
      </c>
      <c r="C26" s="129" t="s">
        <v>18</v>
      </c>
      <c r="D26" s="130" t="s">
        <v>3</v>
      </c>
      <c r="E26" s="135">
        <f>COUNTIFS('Falls Data Entry'!$H$6:$H$423,"&lt;&gt;"&amp;" ",'Falls Data Entry'!$P$6:$P$423,"="&amp;"YES",'Falls Data Entry'!$H$6:$H$423,"&gt;="&amp;DATE(YEAR('Falls Summary'!$E$7),MONTH('Falls Summary'!$E$7),1),'Falls Data Entry'!$H$6:$H$423,"&lt;="&amp;EOMONTH(DATE(YEAR('Falls Summary'!$E$7),MONTH('Falls Summary'!$E$7),1),0))</f>
        <v>0</v>
      </c>
      <c r="F26" s="136" t="str">
        <f>IFERROR(E26/E$18," ")</f>
        <v xml:space="preserve"> </v>
      </c>
      <c r="G26" s="137">
        <f>COUNTIFS('Falls Data Entry'!$H$6:$H$423,"&lt;&gt;"&amp;" ",'Falls Data Entry'!$P$6:$P$423,"="&amp;"YES",'Falls Data Entry'!$H$6:$H$423,"&gt;="&amp;DATE(YEAR(VALUE('Falls Summary'!$E$8)),1,1),'Falls Data Entry'!$H$6:$H$423,"&lt;="&amp;DATE(YEAR(VALUE('Falls Summary'!$E$8)),12,31))</f>
        <v>0</v>
      </c>
      <c r="H26" s="138" t="str">
        <f>IFERROR(G26/G$18," ")</f>
        <v xml:space="preserve"> </v>
      </c>
      <c r="I26" s="7"/>
      <c r="J26" s="7"/>
      <c r="K26" s="7"/>
      <c r="L26" s="7"/>
      <c r="M26" s="7"/>
      <c r="N26" s="7"/>
      <c r="O26" s="7"/>
    </row>
    <row r="27" spans="2:15" ht="18" thickTop="1" x14ac:dyDescent="0.3">
      <c r="B27" s="46">
        <v>3</v>
      </c>
      <c r="C27" s="83"/>
      <c r="D27" s="84" t="str">
        <f>IF(ISNONTEXT($E$5),"",$E$5)</f>
        <v>Unit 1</v>
      </c>
      <c r="E27" s="16">
        <f>COUNTIFS('Falls Data Entry'!$H$6:$H$423,"&lt;&gt;"&amp;" ",'Falls Data Entry'!$P$6:$P$423,"="&amp;"YES",'Falls Data Entry'!$H$6:$H$423,"&gt;="&amp;DATE(YEAR('Falls Summary'!$E$7),MONTH('Falls Summary'!$E$7),1),'Falls Data Entry'!$H$6:$H$423,"&lt;="&amp;EOMONTH(DATE(YEAR('Falls Summary'!$E$7),MONTH('Falls Summary'!$E$7),1),0),'Falls Data Entry'!$A$6:$A$423,D27)</f>
        <v>0</v>
      </c>
      <c r="F27" s="95" t="str">
        <f>IFERROR(E27/E$19," ")</f>
        <v xml:space="preserve"> </v>
      </c>
      <c r="G27" s="16">
        <f>COUNTIFS('Falls Data Entry'!$H$6:$H$423,"&lt;&gt;"&amp;" ",'Falls Data Entry'!$P$6:$P$423,"="&amp;"YES",'Falls Data Entry'!$H$6:$H$423,"&gt;="&amp;DATE(YEAR(VALUE('Falls Summary'!$E$8)),1,1),'Falls Data Entry'!$H$6:$H$423,"&lt;="&amp;DATE(YEAR(VALUE('Falls Summary'!$E$8)),12,31),'Falls Data Entry'!$A$6:$A$423,D27)</f>
        <v>0</v>
      </c>
      <c r="H27" s="95" t="str">
        <f>IFERROR(G27/G$19," ")</f>
        <v xml:space="preserve"> </v>
      </c>
      <c r="I27" s="7"/>
      <c r="J27" s="7"/>
      <c r="K27" s="7"/>
      <c r="L27" s="7"/>
      <c r="M27" s="7"/>
      <c r="N27" s="7"/>
      <c r="O27" s="7"/>
    </row>
    <row r="28" spans="2:15" ht="17.25" x14ac:dyDescent="0.3">
      <c r="B28" s="46">
        <v>3</v>
      </c>
      <c r="C28" s="83"/>
      <c r="D28" s="84" t="str">
        <f>IF(ISNONTEXT($F$5),"",$F$5)</f>
        <v>Unit 2</v>
      </c>
      <c r="E28" s="22">
        <f>COUNTIFS('Falls Data Entry'!$H$6:$H$423,"&lt;&gt;"&amp;" ",'Falls Data Entry'!$P$6:$P$423,"="&amp;"YES",'Falls Data Entry'!$H$6:$H$423,"&gt;="&amp;DATE(YEAR('Falls Summary'!$E$7),MONTH('Falls Summary'!$E$7),1),'Falls Data Entry'!$H$6:$H$423,"&lt;="&amp;EOMONTH(DATE(YEAR('Falls Summary'!$E$7),MONTH('Falls Summary'!$E$7),1),0),'Falls Data Entry'!$A$6:$A$423,D28)</f>
        <v>0</v>
      </c>
      <c r="F28" s="82" t="str">
        <f>IFERROR(E28/E$20," ")</f>
        <v xml:space="preserve"> </v>
      </c>
      <c r="G28" s="22">
        <f>COUNTIFS('Falls Data Entry'!$H$6:$H$423,"&lt;&gt;"&amp;" ",'Falls Data Entry'!$P$6:$P$423,"="&amp;"YES",'Falls Data Entry'!$H$6:$H$423,"&gt;="&amp;DATE(YEAR(VALUE('Falls Summary'!$E$8)),1,1),'Falls Data Entry'!$H$6:$H$423,"&lt;="&amp;DATE(YEAR(VALUE('Falls Summary'!$E$8)),12,31),'Falls Data Entry'!$A$6:$A$423,D28)</f>
        <v>0</v>
      </c>
      <c r="H28" s="82" t="str">
        <f>IFERROR(G28/G$20," ")</f>
        <v xml:space="preserve"> </v>
      </c>
      <c r="I28" s="7"/>
      <c r="J28" s="7"/>
      <c r="K28" s="7"/>
      <c r="L28" s="7"/>
      <c r="M28" s="7"/>
      <c r="N28" s="7"/>
      <c r="O28" s="7"/>
    </row>
    <row r="29" spans="2:15" ht="18" thickBot="1" x14ac:dyDescent="0.35">
      <c r="B29" s="46">
        <v>3</v>
      </c>
      <c r="C29" s="83"/>
      <c r="D29" s="84" t="str">
        <f>IF(ISNONTEXT($G$5),"",$G$5)</f>
        <v>Unit 3</v>
      </c>
      <c r="E29" s="133">
        <f>COUNTIFS('Falls Data Entry'!$H$6:$H$423,"&lt;&gt;"&amp;" ",'Falls Data Entry'!$P$6:$P$423,"="&amp;"YES",'Falls Data Entry'!$H$6:$H$423,"&gt;="&amp;DATE(YEAR('Falls Summary'!$E$7),MONTH('Falls Summary'!$E$7),1),'Falls Data Entry'!$H$6:$H$423,"&lt;="&amp;EOMONTH(DATE(YEAR('Falls Summary'!$E$7),MONTH('Falls Summary'!$E$7),1),0),'Falls Data Entry'!$A$6:$A$423,D29)</f>
        <v>0</v>
      </c>
      <c r="F29" s="134" t="str">
        <f>IFERROR(E29/E$21," ")</f>
        <v xml:space="preserve"> </v>
      </c>
      <c r="G29" s="133">
        <f>COUNTIFS('Falls Data Entry'!$H$6:$H$423,"&lt;&gt;"&amp;" ",'Falls Data Entry'!$P$6:$P$423,"="&amp;"YES",'Falls Data Entry'!$H$6:$H$423,"&gt;="&amp;DATE(YEAR(VALUE('Falls Summary'!$E$8)),1,1),'Falls Data Entry'!$H$6:$H$423,"&lt;="&amp;DATE(YEAR(VALUE('Falls Summary'!$E$8)),12,31),'Falls Data Entry'!$A$6:$A$423,D29)</f>
        <v>0</v>
      </c>
      <c r="H29" s="134" t="str">
        <f>IFERROR(G29/G$21," ")</f>
        <v xml:space="preserve"> </v>
      </c>
      <c r="I29" s="7"/>
      <c r="J29" s="7"/>
      <c r="K29" s="7"/>
      <c r="L29" s="7"/>
      <c r="M29" s="7"/>
      <c r="N29" s="7"/>
      <c r="O29" s="7"/>
    </row>
    <row r="30" spans="2:15" ht="18.75" thickTop="1" thickBot="1" x14ac:dyDescent="0.35">
      <c r="B30" s="46">
        <v>4</v>
      </c>
      <c r="C30" s="132" t="s">
        <v>13</v>
      </c>
      <c r="D30" s="139" t="s">
        <v>3</v>
      </c>
      <c r="E30" s="135">
        <f>COUNTIFS('Falls Data Entry'!$H$6:$H$423,"&lt;&gt;"&amp;" ",'Falls Data Entry'!$I$6:$I$423,"="&amp;"YES",'Falls Data Entry'!$H$6:$H$423,"&gt;="&amp;DATE(YEAR('Falls Summary'!$E$7),MONTH('Falls Summary'!$E$7),1),'Falls Data Entry'!$H$6:$H$423,"&lt;="&amp;EOMONTH(DATE(YEAR('Falls Summary'!$E$7),MONTH('Falls Summary'!$E$7),1),0))</f>
        <v>0</v>
      </c>
      <c r="F30" s="136" t="str">
        <f>IFERROR(E30/E$18," ")</f>
        <v xml:space="preserve"> </v>
      </c>
      <c r="G30" s="137">
        <f>COUNTIFS('Falls Data Entry'!$H$6:$H$423,"&lt;&gt;"&amp;" ",'Falls Data Entry'!$I$6:$I$423,"="&amp;"YES",'Falls Data Entry'!$H$6:$H$423,"&gt;="&amp;DATE(YEAR(VALUE('Falls Summary'!$E$8)),1,1),'Falls Data Entry'!$H$6:$H$423,"&lt;="&amp;DATE(YEAR(VALUE('Falls Summary'!$E$8)),12,31))</f>
        <v>0</v>
      </c>
      <c r="H30" s="138" t="str">
        <f>IFERROR(G30/G$18," ")</f>
        <v xml:space="preserve"> </v>
      </c>
      <c r="I30" s="7"/>
      <c r="J30" s="7"/>
      <c r="K30" s="7"/>
      <c r="L30" s="7"/>
      <c r="M30" s="7"/>
      <c r="N30" s="7"/>
      <c r="O30" s="7"/>
    </row>
    <row r="31" spans="2:15" ht="18" thickTop="1" x14ac:dyDescent="0.3">
      <c r="B31" s="46">
        <v>4</v>
      </c>
      <c r="C31" s="42" t="s">
        <v>17</v>
      </c>
      <c r="D31" s="84" t="str">
        <f>IF(ISNONTEXT($E$5),"",$E$5)</f>
        <v>Unit 1</v>
      </c>
      <c r="E31" s="16">
        <f>COUNTIFS('Falls Data Entry'!$H$6:$H$423,"&lt;&gt;"&amp;" ",'Falls Data Entry'!$I$6:$I$423,"="&amp;"YES",'Falls Data Entry'!$H$6:$H$423,"&gt;="&amp;DATE(YEAR('Falls Summary'!$E$7),MONTH('Falls Summary'!$E$7),1),'Falls Data Entry'!$H$6:$H$423,"&lt;="&amp;EOMONTH(DATE(YEAR('Falls Summary'!$E$7),MONTH('Falls Summary'!$E$7),1),0),'Falls Data Entry'!$A$6:$A$423,D31)</f>
        <v>0</v>
      </c>
      <c r="F31" s="95" t="str">
        <f>IFERROR(E31/E$19," ")</f>
        <v xml:space="preserve"> </v>
      </c>
      <c r="G31" s="16">
        <f>COUNTIFS('Falls Data Entry'!$H$6:$H$423,"&lt;&gt;"&amp;" ",'Falls Data Entry'!$I$6:$I$423,"="&amp;"YES",'Falls Data Entry'!$H$6:$H$423,"&gt;="&amp;DATE(YEAR(VALUE('Falls Summary'!$E$8)),1,1),'Falls Data Entry'!$H$6:$H$423,"&lt;="&amp;DATE(YEAR(VALUE('Falls Summary'!$E$8)),12,31),'Falls Data Entry'!$A$6:$A$423,D31)</f>
        <v>0</v>
      </c>
      <c r="H31" s="95" t="str">
        <f>IFERROR(G31/G$19," ")</f>
        <v xml:space="preserve"> </v>
      </c>
      <c r="I31" s="7"/>
      <c r="J31" s="7"/>
      <c r="K31" s="7"/>
      <c r="L31" s="7"/>
      <c r="M31" s="7"/>
      <c r="N31" s="7"/>
      <c r="O31" s="7"/>
    </row>
    <row r="32" spans="2:15" ht="17.25" x14ac:dyDescent="0.3">
      <c r="B32" s="46">
        <v>4</v>
      </c>
      <c r="C32" s="42" t="s">
        <v>18</v>
      </c>
      <c r="D32" s="84" t="str">
        <f>IF(ISNONTEXT($F$5),"",$F$5)</f>
        <v>Unit 2</v>
      </c>
      <c r="E32" s="22">
        <f>COUNTIFS('Falls Data Entry'!$H$6:$H$423,"&lt;&gt;"&amp;" ",'Falls Data Entry'!$I$6:$I$423,"="&amp;"YES",'Falls Data Entry'!$H$6:$H$423,"&gt;="&amp;DATE(YEAR('Falls Summary'!$E$7),MONTH('Falls Summary'!$E$7),1),'Falls Data Entry'!$H$6:$H$423,"&lt;="&amp;EOMONTH(DATE(YEAR('Falls Summary'!$E$7),MONTH('Falls Summary'!$E$7),1),0),'Falls Data Entry'!$A$6:$A$423,D32)</f>
        <v>0</v>
      </c>
      <c r="F32" s="82" t="str">
        <f>IFERROR(E32/E$20," ")</f>
        <v xml:space="preserve"> </v>
      </c>
      <c r="G32" s="22">
        <f>COUNTIFS('Falls Data Entry'!$H$6:$H$423,"&lt;&gt;"&amp;" ",'Falls Data Entry'!$I$6:$I$423,"="&amp;"YES",'Falls Data Entry'!$H$6:$H$423,"&gt;="&amp;DATE(YEAR(VALUE('Falls Summary'!$E$8)),1,1),'Falls Data Entry'!$H$6:$H$423,"&lt;="&amp;DATE(YEAR(VALUE('Falls Summary'!$E$8)),12,31),'Falls Data Entry'!$A$6:$A$423,D32)</f>
        <v>0</v>
      </c>
      <c r="H32" s="82" t="str">
        <f>IFERROR(G32/G$20," ")</f>
        <v xml:space="preserve"> </v>
      </c>
      <c r="I32" s="7"/>
      <c r="J32" s="7"/>
      <c r="K32" s="7"/>
      <c r="L32" s="7"/>
      <c r="M32" s="7"/>
      <c r="N32" s="7"/>
      <c r="O32" s="7"/>
    </row>
    <row r="33" spans="1:22" ht="18" thickBot="1" x14ac:dyDescent="0.35">
      <c r="B33" s="46">
        <v>4</v>
      </c>
      <c r="C33" s="43" t="s">
        <v>13</v>
      </c>
      <c r="D33" s="84" t="str">
        <f>IF(ISNONTEXT($G$5),"",$G$5)</f>
        <v>Unit 3</v>
      </c>
      <c r="E33" s="133">
        <f>COUNTIFS('Falls Data Entry'!$H$6:$H$423,"&lt;&gt;"&amp;" ",'Falls Data Entry'!$I$6:$I$423,"="&amp;"YES",'Falls Data Entry'!$H$6:$H$423,"&gt;="&amp;DATE(YEAR('Falls Summary'!$E$7),MONTH('Falls Summary'!$E$7),1),'Falls Data Entry'!$H$6:$H$423,"&lt;="&amp;EOMONTH(DATE(YEAR('Falls Summary'!$E$7),MONTH('Falls Summary'!$E$7),1),0),'Falls Data Entry'!$A$6:$A$423,D33)</f>
        <v>0</v>
      </c>
      <c r="F33" s="134" t="str">
        <f>IFERROR(E33/E$21," ")</f>
        <v xml:space="preserve"> </v>
      </c>
      <c r="G33" s="133">
        <f>COUNTIFS('Falls Data Entry'!$H$6:$H$423,"&lt;&gt;"&amp;" ",'Falls Data Entry'!$I$6:$I$423,"="&amp;"YES",'Falls Data Entry'!$H$6:$H$423,"&gt;="&amp;DATE(YEAR(VALUE('Falls Summary'!$E$8)),1,1),'Falls Data Entry'!$H$6:$H$423,"&lt;="&amp;DATE(YEAR(VALUE('Falls Summary'!$E$8)),12,31),'Falls Data Entry'!$A$6:$A$423,D33)</f>
        <v>0</v>
      </c>
      <c r="H33" s="134" t="str">
        <f>IFERROR(G33/G$21," ")</f>
        <v xml:space="preserve"> </v>
      </c>
      <c r="I33" s="7"/>
      <c r="J33" s="7"/>
      <c r="K33" s="7"/>
      <c r="L33" s="7"/>
      <c r="M33" s="7"/>
      <c r="N33" s="7"/>
      <c r="O33" s="7"/>
      <c r="P33" s="7"/>
      <c r="Q33" s="7"/>
      <c r="R33" s="7"/>
      <c r="S33" s="7"/>
      <c r="T33" s="7"/>
      <c r="U33" s="7"/>
      <c r="V33" s="7"/>
    </row>
    <row r="34" spans="1:22" ht="18.75" thickTop="1" thickBot="1" x14ac:dyDescent="0.35">
      <c r="B34" s="46">
        <v>5</v>
      </c>
      <c r="C34" s="132" t="s">
        <v>2903</v>
      </c>
      <c r="D34" s="139" t="s">
        <v>3</v>
      </c>
      <c r="E34" s="135">
        <f>COUNTIFS('Falls Data Entry'!$H$6:$H$423,"&lt;&gt;"&amp;" ",'Falls Data Entry'!$F$6:$F$423,"="&amp;"YES",'Falls Data Entry'!$H$6:$H$423,"&gt;="&amp;DATE(YEAR('Falls Summary'!$E$7),MONTH('Falls Summary'!$E$7),1),'Falls Data Entry'!$H$6:$H$423,"&lt;="&amp;EOMONTH(DATE(YEAR('Falls Summary'!$E$7),MONTH('Falls Summary'!$E$7),1),0))</f>
        <v>0</v>
      </c>
      <c r="F34" s="136" t="str">
        <f>IFERROR(E34/E$18," ")</f>
        <v xml:space="preserve"> </v>
      </c>
      <c r="G34" s="137">
        <f>COUNTIFS('Falls Data Entry'!$H$6:$H$423,"&lt;&gt;"&amp;" ",'Falls Data Entry'!$F$6:$F$423,"="&amp;"YES",'Falls Data Entry'!$H$6:$H$423,"&gt;="&amp;DATE(YEAR(VALUE('Falls Summary'!$E$8)),1,1),'Falls Data Entry'!$H$6:$H$423,"&lt;="&amp;DATE(YEAR(VALUE('Falls Summary'!$E$8)),12,31))</f>
        <v>0</v>
      </c>
      <c r="H34" s="138" t="str">
        <f>IFERROR(G34/G$18," ")</f>
        <v xml:space="preserve"> </v>
      </c>
      <c r="I34" s="7"/>
      <c r="J34" s="7"/>
      <c r="K34" s="7"/>
      <c r="L34" s="7"/>
      <c r="M34" s="7"/>
      <c r="N34" s="7"/>
      <c r="O34" s="7"/>
      <c r="P34" s="7"/>
      <c r="Q34" s="7"/>
      <c r="R34" s="7"/>
      <c r="S34" s="7"/>
      <c r="T34" s="7"/>
      <c r="U34" s="7"/>
      <c r="V34" s="7"/>
    </row>
    <row r="35" spans="1:22" ht="18" thickTop="1" x14ac:dyDescent="0.3">
      <c r="B35" s="46">
        <v>5</v>
      </c>
      <c r="C35" s="42" t="s">
        <v>2857</v>
      </c>
      <c r="D35" s="84" t="str">
        <f>IF(ISNONTEXT($E$5),"",$E$5)</f>
        <v>Unit 1</v>
      </c>
      <c r="E35" s="16">
        <f>COUNTIFS('Falls Data Entry'!$H$6:$H$423,"&lt;&gt;"&amp;" ",'Falls Data Entry'!$F$6:$F$423,"="&amp;"YES",'Falls Data Entry'!$H$6:$H$423,"&gt;="&amp;DATE(YEAR('Falls Summary'!$E$7),MONTH('Falls Summary'!$E$7),1),'Falls Data Entry'!$H$6:$H$423,"&lt;="&amp;EOMONTH(DATE(YEAR('Falls Summary'!$E$7),MONTH('Falls Summary'!$E$7),1),0),'Falls Data Entry'!$A$6:$A$423,D35)</f>
        <v>0</v>
      </c>
      <c r="F35" s="95" t="str">
        <f>IFERROR(E35/E$19," ")</f>
        <v xml:space="preserve"> </v>
      </c>
      <c r="G35" s="16">
        <f>COUNTIFS('Falls Data Entry'!$H$6:$H$423,"&lt;&gt;"&amp;" ",'Falls Data Entry'!$F$6:$F$423,"="&amp;"YES",'Falls Data Entry'!$H$6:$H$423,"&gt;="&amp;DATE(YEAR(VALUE('Falls Summary'!$E$8)),1,1),'Falls Data Entry'!$H$6:$H$423,"&lt;="&amp;DATE(YEAR(VALUE('Falls Summary'!$E$8)),12,31),'Falls Data Entry'!$A$6:$A$423,D35)</f>
        <v>0</v>
      </c>
      <c r="H35" s="95" t="str">
        <f>IFERROR(G35/G$19," ")</f>
        <v xml:space="preserve"> </v>
      </c>
      <c r="I35" s="7"/>
      <c r="J35" s="7"/>
      <c r="K35" s="7"/>
      <c r="L35" s="7"/>
      <c r="M35" s="7"/>
      <c r="N35" s="7"/>
      <c r="O35" s="7"/>
      <c r="P35" s="7"/>
      <c r="Q35" s="7"/>
      <c r="R35" s="7"/>
      <c r="S35" s="7"/>
      <c r="T35" s="7"/>
      <c r="U35" s="7"/>
      <c r="V35" s="7"/>
    </row>
    <row r="36" spans="1:22" ht="17.25" x14ac:dyDescent="0.3">
      <c r="B36" s="46">
        <v>5</v>
      </c>
      <c r="C36" s="42" t="s">
        <v>18</v>
      </c>
      <c r="D36" s="84" t="str">
        <f>IF(ISNONTEXT($F$5),"",$F$5)</f>
        <v>Unit 2</v>
      </c>
      <c r="E36" s="22">
        <f>COUNTIFS('Falls Data Entry'!$H$6:$H$423,"&lt;&gt;"&amp;" ",'Falls Data Entry'!$F$6:$F$423,"="&amp;"YES",'Falls Data Entry'!$H$6:$H$423,"&gt;="&amp;DATE(YEAR('Falls Summary'!$E$7),MONTH('Falls Summary'!$E$7),1),'Falls Data Entry'!$H$6:$H$423,"&lt;="&amp;EOMONTH(DATE(YEAR('Falls Summary'!$E$7),MONTH('Falls Summary'!$E$7),1),0),'Falls Data Entry'!$A$6:$A$423,D36)</f>
        <v>0</v>
      </c>
      <c r="F36" s="82" t="str">
        <f>IFERROR(E36/E$20," ")</f>
        <v xml:space="preserve"> </v>
      </c>
      <c r="G36" s="22">
        <f>COUNTIFS('Falls Data Entry'!$H$6:$H$423,"&lt;&gt;"&amp;" ",'Falls Data Entry'!$F$6:$F$423,"="&amp;"YES",'Falls Data Entry'!$H$6:$H$423,"&gt;="&amp;DATE(YEAR(VALUE('Falls Summary'!$E$8)),1,1),'Falls Data Entry'!$H$6:$H$423,"&lt;="&amp;DATE(YEAR(VALUE('Falls Summary'!$E$8)),12,31),'Falls Data Entry'!$A$6:$A$423,D36)</f>
        <v>0</v>
      </c>
      <c r="H36" s="82" t="str">
        <f>IFERROR(G36/G$20," ")</f>
        <v xml:space="preserve"> </v>
      </c>
      <c r="I36" s="7"/>
      <c r="J36" s="7"/>
      <c r="K36" s="7"/>
      <c r="L36" s="7"/>
      <c r="M36" s="7"/>
      <c r="N36" s="7"/>
      <c r="O36" s="7"/>
      <c r="P36" s="7"/>
      <c r="Q36" s="7"/>
      <c r="R36" s="7"/>
      <c r="S36" s="7"/>
      <c r="T36" s="7"/>
      <c r="U36" s="7"/>
      <c r="V36" s="7"/>
    </row>
    <row r="37" spans="1:22" ht="18" thickBot="1" x14ac:dyDescent="0.35">
      <c r="B37" s="46">
        <v>5</v>
      </c>
      <c r="C37" s="43" t="s">
        <v>13</v>
      </c>
      <c r="D37" s="84" t="str">
        <f>IF(ISNONTEXT($G$5),"",$G$5)</f>
        <v>Unit 3</v>
      </c>
      <c r="E37" s="133">
        <f>COUNTIFS('Falls Data Entry'!$H$6:$H$423,"&lt;&gt;"&amp;" ",'Falls Data Entry'!$F$6:$F$423,"="&amp;"YES",'Falls Data Entry'!$H$6:$H$423,"&gt;="&amp;DATE(YEAR('Falls Summary'!$E$7),MONTH('Falls Summary'!$E$7),1),'Falls Data Entry'!$H$6:$H$423,"&lt;="&amp;EOMONTH(DATE(YEAR('Falls Summary'!$E$7),MONTH('Falls Summary'!$E$7),1),0),'Falls Data Entry'!$A$6:$A$423,D37)</f>
        <v>0</v>
      </c>
      <c r="F37" s="134" t="str">
        <f>IFERROR(E37/E$21," ")</f>
        <v xml:space="preserve"> </v>
      </c>
      <c r="G37" s="133">
        <f>COUNTIFS('Falls Data Entry'!$H$6:$H$423,"&lt;&gt;"&amp;" ",'Falls Data Entry'!$F$6:$F$423,"="&amp;"YES",'Falls Data Entry'!$H$6:$H$423,"&gt;="&amp;DATE(YEAR(VALUE('Falls Summary'!$E$8)),1,1),'Falls Data Entry'!$H$6:$H$423,"&lt;="&amp;DATE(YEAR(VALUE('Falls Summary'!$E$8)),12,31),'Falls Data Entry'!$A$6:$A$423,D37)</f>
        <v>0</v>
      </c>
      <c r="H37" s="134" t="str">
        <f>IFERROR(G37/G$21," ")</f>
        <v xml:space="preserve"> </v>
      </c>
      <c r="I37" s="7"/>
      <c r="J37" s="7"/>
      <c r="K37" s="7"/>
      <c r="L37" s="7"/>
      <c r="M37" s="7"/>
      <c r="N37" s="7"/>
      <c r="O37" s="7"/>
      <c r="P37" s="7"/>
      <c r="Q37" s="7"/>
      <c r="R37" s="7"/>
      <c r="S37" s="7"/>
      <c r="T37" s="7"/>
      <c r="U37" s="7"/>
      <c r="V37" s="7"/>
    </row>
    <row r="38" spans="1:22" ht="18.75" thickTop="1" thickBot="1" x14ac:dyDescent="0.35">
      <c r="B38" s="46">
        <v>6</v>
      </c>
      <c r="C38" s="129" t="s">
        <v>2904</v>
      </c>
      <c r="D38" s="130" t="s">
        <v>3</v>
      </c>
      <c r="E38" s="135">
        <f>COUNTIFS('Falls Data Entry'!$H$6:$H$423,"&lt;&gt;"&amp;" ",'Falls Data Entry'!$G$6:$G$423,"="&amp;"YES",'Falls Data Entry'!$H$6:$H$423,"&gt;="&amp;DATE(YEAR('Falls Summary'!$E$7),MONTH('Falls Summary'!$E$7),1),'Falls Data Entry'!$H$6:$H$423,"&lt;="&amp;EOMONTH(DATE(YEAR('Falls Summary'!$E$7),MONTH('Falls Summary'!$E$7),1),0))</f>
        <v>0</v>
      </c>
      <c r="F38" s="136" t="str">
        <f>IFERROR(E38/E$18," ")</f>
        <v xml:space="preserve"> </v>
      </c>
      <c r="G38" s="137">
        <f>COUNTIFS('Falls Data Entry'!$H$6:$H$423,"&lt;&gt;"&amp;" ",'Falls Data Entry'!$G$6:$G$423,"="&amp;"YES",'Falls Data Entry'!$H$6:$H$423,"&gt;="&amp;DATE(YEAR(VALUE('Falls Summary'!$E$8)),1,1),'Falls Data Entry'!$H$6:$H$423,"&lt;="&amp;DATE(YEAR(VALUE('Falls Summary'!$E$8)),12,31))</f>
        <v>0</v>
      </c>
      <c r="H38" s="138" t="str">
        <f>IFERROR(G38/G$18," ")</f>
        <v xml:space="preserve"> </v>
      </c>
      <c r="I38" s="7"/>
      <c r="J38" s="7"/>
      <c r="K38" s="7"/>
      <c r="L38" s="7"/>
      <c r="M38" s="7"/>
      <c r="N38" s="7"/>
      <c r="O38" s="7"/>
      <c r="P38" s="7"/>
      <c r="Q38" s="7"/>
      <c r="R38" s="7"/>
      <c r="S38" s="7"/>
      <c r="T38" s="7"/>
      <c r="U38" s="7"/>
      <c r="V38" s="7"/>
    </row>
    <row r="39" spans="1:22" ht="18" thickTop="1" x14ac:dyDescent="0.3">
      <c r="B39" s="46">
        <v>6</v>
      </c>
      <c r="C39" s="42" t="s">
        <v>17</v>
      </c>
      <c r="D39" s="84" t="str">
        <f>IF(ISNONTEXT($E$5),"",$E$5)</f>
        <v>Unit 1</v>
      </c>
      <c r="E39" s="16">
        <f>COUNTIFS('Falls Data Entry'!$H$6:$H$423,"&lt;&gt;"&amp;" ",'Falls Data Entry'!$G$6:$G$423,"="&amp;"YES",'Falls Data Entry'!$H$6:$H$423,"&gt;="&amp;DATE(YEAR('Falls Summary'!$E$7),MONTH('Falls Summary'!$E$7),1),'Falls Data Entry'!$H$6:$H$423,"&lt;="&amp;EOMONTH(DATE(YEAR('Falls Summary'!$E$7),MONTH('Falls Summary'!$E$7),1),0),'Falls Data Entry'!$A$6:$A$423,D39)</f>
        <v>0</v>
      </c>
      <c r="F39" s="95" t="str">
        <f>IFERROR(E39/E$19," ")</f>
        <v xml:space="preserve"> </v>
      </c>
      <c r="G39" s="16">
        <f>COUNTIFS('Falls Data Entry'!$H$6:$H$423,"&lt;&gt;"&amp;" ",'Falls Data Entry'!$G$6:$G$423,"="&amp;"YES",'Falls Data Entry'!$H$6:$H$423,"&gt;="&amp;DATE(YEAR(VALUE('Falls Summary'!$E$8)),1,1),'Falls Data Entry'!$H$6:$H$423,"&lt;="&amp;DATE(YEAR(VALUE('Falls Summary'!$E$8)),12,31),'Falls Data Entry'!$A$6:$A$423,D39)</f>
        <v>0</v>
      </c>
      <c r="H39" s="95" t="str">
        <f>IFERROR(G39/G$19," ")</f>
        <v xml:space="preserve"> </v>
      </c>
      <c r="I39" s="7"/>
      <c r="J39" s="7"/>
      <c r="K39" s="7"/>
      <c r="L39" s="7"/>
      <c r="M39" s="7"/>
      <c r="N39" s="7"/>
      <c r="O39" s="7"/>
      <c r="P39" s="7"/>
      <c r="Q39" s="7"/>
      <c r="R39" s="7"/>
      <c r="S39" s="7"/>
      <c r="T39" s="7"/>
      <c r="U39" s="7"/>
      <c r="V39" s="7"/>
    </row>
    <row r="40" spans="1:22" ht="17.25" x14ac:dyDescent="0.3">
      <c r="B40" s="46">
        <v>6</v>
      </c>
      <c r="C40" s="42" t="s">
        <v>18</v>
      </c>
      <c r="D40" s="84" t="str">
        <f>IF(ISNONTEXT($F$5),"",$F$5)</f>
        <v>Unit 2</v>
      </c>
      <c r="E40" s="22">
        <f>COUNTIFS('Falls Data Entry'!$H$6:$H$423,"&lt;&gt;"&amp;" ",'Falls Data Entry'!$G$6:$G$423,"="&amp;"YES",'Falls Data Entry'!$H$6:$H$423,"&gt;="&amp;DATE(YEAR('Falls Summary'!$E$7),MONTH('Falls Summary'!$E$7),1),'Falls Data Entry'!$H$6:$H$423,"&lt;="&amp;EOMONTH(DATE(YEAR('Falls Summary'!$E$7),MONTH('Falls Summary'!$E$7),1),0),'Falls Data Entry'!$A$6:$A$423,D40)</f>
        <v>0</v>
      </c>
      <c r="F40" s="82" t="str">
        <f>IFERROR(E40/E$20," ")</f>
        <v xml:space="preserve"> </v>
      </c>
      <c r="G40" s="22">
        <f>COUNTIFS('Falls Data Entry'!$H$6:$H$423,"&lt;&gt;"&amp;" ",'Falls Data Entry'!$G$6:$G$423,"="&amp;"YES",'Falls Data Entry'!$H$6:$H$423,"&gt;="&amp;DATE(YEAR(VALUE('Falls Summary'!$E$8)),1,1),'Falls Data Entry'!$H$6:$H$423,"&lt;="&amp;DATE(YEAR(VALUE('Falls Summary'!$E$8)),12,31),'Falls Data Entry'!$A$6:$A$423,D40)</f>
        <v>0</v>
      </c>
      <c r="H40" s="82" t="str">
        <f>IFERROR(G40/G$20," ")</f>
        <v xml:space="preserve"> </v>
      </c>
      <c r="I40" s="7"/>
      <c r="J40" s="7"/>
      <c r="K40" s="7"/>
      <c r="L40" s="7"/>
      <c r="M40" s="7"/>
      <c r="N40" s="7"/>
      <c r="O40" s="7"/>
      <c r="P40" s="7"/>
      <c r="Q40" s="7"/>
      <c r="R40" s="7"/>
      <c r="S40" s="7"/>
      <c r="T40" s="7"/>
      <c r="U40" s="7"/>
      <c r="V40" s="7"/>
    </row>
    <row r="41" spans="1:22" ht="17.25" x14ac:dyDescent="0.3">
      <c r="B41" s="46">
        <v>6</v>
      </c>
      <c r="C41" s="43" t="s">
        <v>13</v>
      </c>
      <c r="D41" s="84" t="str">
        <f>IF(ISNONTEXT($G$5),"",$G$5)</f>
        <v>Unit 3</v>
      </c>
      <c r="E41" s="22">
        <f>COUNTIFS('Falls Data Entry'!$H$6:$H$423,"&lt;&gt;"&amp;" ",'Falls Data Entry'!$G$6:$G$423,"="&amp;"YES",'Falls Data Entry'!$H$6:$H$423,"&gt;="&amp;DATE(YEAR('Falls Summary'!$E$7),MONTH('Falls Summary'!$E$7),1),'Falls Data Entry'!$H$6:$H$423,"&lt;="&amp;EOMONTH(DATE(YEAR('Falls Summary'!$E$7),MONTH('Falls Summary'!$E$7),1),0),'Falls Data Entry'!$A$6:$A$423,D41)</f>
        <v>0</v>
      </c>
      <c r="F41" s="82" t="str">
        <f>IFERROR(E41/E$21," ")</f>
        <v xml:space="preserve"> </v>
      </c>
      <c r="G41" s="22">
        <f>COUNTIFS('Falls Data Entry'!$H$6:$H$423,"&lt;&gt;"&amp;" ",'Falls Data Entry'!$G$6:$G$423,"="&amp;"YES",'Falls Data Entry'!$H$6:$H$423,"&gt;="&amp;DATE(YEAR(VALUE('Falls Summary'!$E$8)),1,1),'Falls Data Entry'!$H$6:$H$423,"&lt;="&amp;DATE(YEAR(VALUE('Falls Summary'!$E$8)),12,31),'Falls Data Entry'!$A$6:$A$423,D41)</f>
        <v>0</v>
      </c>
      <c r="H41" s="82" t="str">
        <f>IFERROR(G41/G$21," ")</f>
        <v xml:space="preserve"> </v>
      </c>
      <c r="I41" s="7"/>
      <c r="J41" s="7"/>
      <c r="K41" s="7"/>
      <c r="L41" s="7"/>
      <c r="M41" s="7"/>
      <c r="N41" s="7"/>
      <c r="O41" s="7"/>
      <c r="P41" s="7"/>
      <c r="Q41" s="7"/>
      <c r="R41" s="7"/>
      <c r="S41" s="7"/>
      <c r="T41" s="7"/>
      <c r="U41" s="7"/>
      <c r="V41" s="7"/>
    </row>
    <row r="43" spans="1:22" ht="37.9" customHeight="1" x14ac:dyDescent="0.3">
      <c r="C43" s="7"/>
      <c r="D43" s="7"/>
      <c r="E43" s="7"/>
      <c r="F43" s="69"/>
      <c r="G43" s="7"/>
      <c r="H43" s="69"/>
      <c r="I43" s="7"/>
      <c r="J43" s="7"/>
      <c r="K43" s="7"/>
      <c r="L43" s="7"/>
      <c r="M43" s="7"/>
      <c r="N43" s="7"/>
      <c r="O43" s="7"/>
      <c r="P43" s="7"/>
      <c r="Q43" s="7"/>
      <c r="R43" s="7"/>
      <c r="S43" s="7"/>
      <c r="T43" s="7"/>
      <c r="U43" s="7"/>
      <c r="V43" s="7"/>
    </row>
    <row r="45" spans="1:22" ht="21" thickBot="1" x14ac:dyDescent="0.4">
      <c r="C45" s="76" t="s">
        <v>19</v>
      </c>
      <c r="D45" s="44"/>
      <c r="E45" s="168">
        <f>$E$7</f>
        <v>46174</v>
      </c>
      <c r="F45" s="168"/>
      <c r="G45" s="169" t="s">
        <v>11</v>
      </c>
      <c r="H45" s="169"/>
      <c r="I45" s="7"/>
      <c r="J45" s="7"/>
      <c r="K45" s="7"/>
      <c r="L45" s="7"/>
      <c r="M45" s="7"/>
      <c r="N45" s="7"/>
      <c r="O45" s="7"/>
      <c r="P45" s="7"/>
      <c r="Q45" s="7"/>
      <c r="R45" s="7"/>
      <c r="S45" s="7"/>
      <c r="T45" s="7"/>
      <c r="U45" s="7"/>
      <c r="V45" s="7"/>
    </row>
    <row r="46" spans="1:22" ht="67.900000000000006" customHeight="1" thickTop="1" thickBot="1" x14ac:dyDescent="0.35">
      <c r="C46" s="61"/>
      <c r="D46" s="62"/>
      <c r="E46" s="140" t="s">
        <v>20</v>
      </c>
      <c r="F46" s="141" t="s">
        <v>21</v>
      </c>
      <c r="G46" s="140" t="s">
        <v>20</v>
      </c>
      <c r="H46" s="141" t="s">
        <v>21</v>
      </c>
      <c r="I46" s="7"/>
      <c r="J46" s="164" t="s">
        <v>22</v>
      </c>
      <c r="K46" s="164"/>
      <c r="L46" s="165" t="s">
        <v>29</v>
      </c>
      <c r="M46" s="166"/>
      <c r="N46" s="166"/>
      <c r="O46" s="167"/>
      <c r="P46" s="7"/>
      <c r="Q46" s="164" t="s">
        <v>2905</v>
      </c>
      <c r="R46" s="164"/>
      <c r="S46" s="165" t="s">
        <v>2891</v>
      </c>
      <c r="T46" s="166"/>
      <c r="U46" s="166"/>
      <c r="V46" s="167"/>
    </row>
    <row r="47" spans="1:22" ht="18.75" thickTop="1" thickBot="1" x14ac:dyDescent="0.35">
      <c r="A47" s="46">
        <v>1</v>
      </c>
      <c r="C47" s="129" t="s">
        <v>23</v>
      </c>
      <c r="D47" s="130" t="s">
        <v>3</v>
      </c>
      <c r="E47" s="135">
        <f>COUNTIFS('Falls Data Entry'!$H$6:$H$423,"&lt;&gt;"&amp;" ",'Falls Data Entry'!$T$6:$T$423,"="&amp;"YES",'Falls Data Entry'!$H$6:$H$423,"&gt;="&amp;DATE(YEAR('Falls Summary'!$E$7),MONTH('Falls Summary'!$E$7),1),'Falls Data Entry'!$H$6:$H$423,"&lt;="&amp;EOMONTH(DATE(YEAR('Falls Summary'!$E$7),MONTH('Falls Summary'!$E$7),1),0))</f>
        <v>0</v>
      </c>
      <c r="F47" s="136" t="str">
        <f>IFERROR(E47/$E$18," ")</f>
        <v xml:space="preserve"> </v>
      </c>
      <c r="G47" s="137">
        <f>COUNTIFS('Falls Data Entry'!$H$6:$H$423,"&lt;&gt;"&amp;" ",'Falls Data Entry'!$T$6:$T$423,"="&amp;"YES",'Falls Data Entry'!$H$6:$H$423,"&gt;="&amp;DATE(YEAR(VALUE('Falls Summary'!$E$8)),1,1),'Falls Data Entry'!$H$6:$H$423,"&lt;="&amp;DATE(YEAR(VALUE('Falls Summary'!$E$8)),12,31))</f>
        <v>0</v>
      </c>
      <c r="H47" s="138" t="str">
        <f>IFERROR(G47/$G$18," ")</f>
        <v xml:space="preserve"> </v>
      </c>
      <c r="I47" s="7"/>
      <c r="J47" s="7"/>
      <c r="K47" s="7"/>
      <c r="L47" s="46">
        <f>_xlfn.XLOOKUP(L46,$C$47:$C$78,$A$47:$A$78,"",0)</f>
        <v>8</v>
      </c>
      <c r="M47" s="7"/>
      <c r="N47" s="7"/>
      <c r="O47" s="7"/>
      <c r="P47" s="7"/>
      <c r="Q47" s="7"/>
      <c r="R47" s="7"/>
      <c r="S47" s="7"/>
      <c r="T47" s="7"/>
      <c r="U47" s="7"/>
      <c r="V47" s="7"/>
    </row>
    <row r="48" spans="1:22" ht="18" thickTop="1" x14ac:dyDescent="0.3">
      <c r="A48" s="46">
        <v>1</v>
      </c>
      <c r="C48" s="83"/>
      <c r="D48" s="84" t="str">
        <f>IF(ISNONTEXT($E$5),"",$E$5)</f>
        <v>Unit 1</v>
      </c>
      <c r="E48" s="16">
        <f>COUNTIFS('Falls Data Entry'!$H$6:$H$423,"&lt;&gt;"&amp;" ",'Falls Data Entry'!$T$6:$T$423,"="&amp;"YES",'Falls Data Entry'!$H$6:$H$423,"&gt;="&amp;DATE(YEAR('Falls Summary'!$E$7),MONTH('Falls Summary'!$E$7),1),'Falls Data Entry'!$H$6:$H$423,"&lt;="&amp;EOMONTH(DATE(YEAR('Falls Summary'!$E$7),MONTH('Falls Summary'!$E$7),1),0),'Falls Data Entry'!$A$6:$A$423,D48)</f>
        <v>0</v>
      </c>
      <c r="F48" s="95" t="str">
        <f>IFERROR(E48/$E$19," ")</f>
        <v xml:space="preserve"> </v>
      </c>
      <c r="G48" s="16">
        <f>COUNTIFS('Falls Data Entry'!$H$6:$H$423,"&lt;&gt;"&amp;" ",'Falls Data Entry'!$T$6:$T$423,"="&amp;"YES",'Falls Data Entry'!$H$6:$H$423,"&gt;="&amp;DATE(YEAR(VALUE('Falls Summary'!$E$8)),1,1),'Falls Data Entry'!$H$6:$H$423,"&lt;="&amp;DATE(YEAR(VALUE('Falls Summary'!$E$8)),12,31),'Falls Data Entry'!$A$6:$A$423,D48)</f>
        <v>0</v>
      </c>
      <c r="H48" s="95" t="str">
        <f>IFERROR(G48/$G$19," ")</f>
        <v xml:space="preserve"> </v>
      </c>
      <c r="I48" s="7"/>
      <c r="J48" s="81"/>
      <c r="K48" s="85">
        <f>$E$7</f>
        <v>46174</v>
      </c>
      <c r="L48" s="79" t="s">
        <v>11</v>
      </c>
      <c r="M48" s="7"/>
      <c r="N48" s="7"/>
      <c r="O48" s="7"/>
      <c r="P48" s="7"/>
      <c r="Q48" s="7"/>
      <c r="R48" s="7"/>
      <c r="S48" s="7"/>
      <c r="T48" s="7"/>
      <c r="U48" s="7"/>
      <c r="V48" s="7"/>
    </row>
    <row r="49" spans="1:12" ht="17.25" x14ac:dyDescent="0.3">
      <c r="A49" s="46">
        <v>1</v>
      </c>
      <c r="C49" s="83"/>
      <c r="D49" s="84" t="str">
        <f>IF(ISNONTEXT($F$5),"",$F$5)</f>
        <v>Unit 2</v>
      </c>
      <c r="E49" s="22">
        <f>COUNTIFS('Falls Data Entry'!$H$6:$H$423,"&lt;&gt;"&amp;" ",'Falls Data Entry'!$T$6:$T$423,"="&amp;"YES",'Falls Data Entry'!$H$6:$H$423,"&gt;="&amp;DATE(YEAR('Falls Summary'!$E$7),MONTH('Falls Summary'!$E$7),1),'Falls Data Entry'!$H$6:$H$423,"&lt;="&amp;EOMONTH(DATE(YEAR('Falls Summary'!$E$7),MONTH('Falls Summary'!$E$7),1),0),'Falls Data Entry'!$A$6:$A$423,D49)</f>
        <v>0</v>
      </c>
      <c r="F49" s="82" t="str">
        <f>IFERROR(E49/$E$20," ")</f>
        <v xml:space="preserve"> </v>
      </c>
      <c r="G49" s="22">
        <f>COUNTIFS('Falls Data Entry'!$H$6:$H$423,"&lt;&gt;"&amp;" ",'Falls Data Entry'!$T$6:$T$423,"="&amp;"YES",'Falls Data Entry'!$H$6:$H$423,"&gt;="&amp;DATE(YEAR(VALUE('Falls Summary'!$E$8)),1,1),'Falls Data Entry'!$H$6:$H$423,"&lt;="&amp;DATE(YEAR(VALUE('Falls Summary'!$E$8)),12,31),'Falls Data Entry'!$A$6:$A$423,D49)</f>
        <v>0</v>
      </c>
      <c r="H49" s="82" t="str">
        <f>IFERROR(G49/$G$20," ")</f>
        <v xml:space="preserve"> </v>
      </c>
      <c r="I49" s="7"/>
      <c r="J49" s="84" t="str">
        <f>IF(ISNONTEXT($E$5),"",$E$5)</f>
        <v>Unit 1</v>
      </c>
      <c r="K49" s="86" t="str" cm="1">
        <f t="array" ref="K49">_xlfn.XLOOKUP(J49&amp;$L$47,$D$47:$D$78&amp;$A$47:$A$78,$F$47:$F$78,"",0)</f>
        <v xml:space="preserve"> </v>
      </c>
      <c r="L49" s="86" t="str" cm="1">
        <f t="array" ref="L49">_xlfn.XLOOKUP(J49&amp;$L$47,$D$47:$D$78&amp;$A$47:$A$78,$H$47:$H$78,"",0)</f>
        <v xml:space="preserve"> </v>
      </c>
    </row>
    <row r="50" spans="1:12" ht="18" thickBot="1" x14ac:dyDescent="0.35">
      <c r="A50" s="46">
        <v>1</v>
      </c>
      <c r="C50" s="83"/>
      <c r="D50" s="84" t="str">
        <f>IF(ISNONTEXT($G$5),"",$G$5)</f>
        <v>Unit 3</v>
      </c>
      <c r="E50" s="133">
        <f>COUNTIFS('Falls Data Entry'!$H$6:$H$423,"&lt;&gt;"&amp;" ",'Falls Data Entry'!$T$6:$T$423,"="&amp;"YES",'Falls Data Entry'!$H$6:$H$423,"&gt;="&amp;DATE(YEAR('Falls Summary'!$E$7),MONTH('Falls Summary'!$E$7),1),'Falls Data Entry'!$H$6:$H$423,"&lt;="&amp;EOMONTH(DATE(YEAR('Falls Summary'!$E$7),MONTH('Falls Summary'!$E$7),1),0),'Falls Data Entry'!$A$6:$A$423,D50)</f>
        <v>0</v>
      </c>
      <c r="F50" s="134" t="str">
        <f>IFERROR(E50/$E$21," ")</f>
        <v xml:space="preserve"> </v>
      </c>
      <c r="G50" s="133">
        <f>COUNTIFS('Falls Data Entry'!$H$6:$H$423,"&lt;&gt;"&amp;" ",'Falls Data Entry'!$T$6:$T$423,"="&amp;"YES",'Falls Data Entry'!$H$6:$H$423,"&gt;="&amp;DATE(YEAR(VALUE('Falls Summary'!$E$8)),1,1),'Falls Data Entry'!$H$6:$H$423,"&lt;="&amp;DATE(YEAR(VALUE('Falls Summary'!$E$8)),12,31),'Falls Data Entry'!$A$6:$A$423,D50)</f>
        <v>0</v>
      </c>
      <c r="H50" s="134" t="str">
        <f>IFERROR(G50/$G$21," ")</f>
        <v xml:space="preserve"> </v>
      </c>
      <c r="I50" s="7"/>
      <c r="J50" s="84" t="str">
        <f>IF(ISNONTEXT($F$5),"",$F$5)</f>
        <v>Unit 2</v>
      </c>
      <c r="K50" s="86" t="str" cm="1">
        <f t="array" ref="K50">_xlfn.XLOOKUP(J50&amp;$L$47,$D$47:$D$78&amp;$A$47:$A$78,$F$47:$F$78,"",0)</f>
        <v xml:space="preserve"> </v>
      </c>
      <c r="L50" s="86" t="str" cm="1">
        <f t="array" ref="L50">_xlfn.XLOOKUP(J50&amp;$L$47,$D$47:$D$78&amp;$A$47:$A$78,$H$47:$H$78,"",0)</f>
        <v xml:space="preserve"> </v>
      </c>
    </row>
    <row r="51" spans="1:12" ht="18.75" thickTop="1" thickBot="1" x14ac:dyDescent="0.35">
      <c r="A51" s="46">
        <v>3</v>
      </c>
      <c r="C51" s="129" t="s">
        <v>24</v>
      </c>
      <c r="D51" s="130" t="s">
        <v>3</v>
      </c>
      <c r="E51" s="135">
        <f>COUNTIFS('Falls Data Entry'!$H$6:$H$423,"&lt;&gt;"&amp;" ",'Falls Data Entry'!$U$6:$U$423,"="&amp;"YES",'Falls Data Entry'!$H$6:$H$423,"&gt;="&amp;DATE(YEAR('Falls Summary'!$E$7),MONTH('Falls Summary'!$E$7),1),'Falls Data Entry'!$H$6:$H$423,"&lt;="&amp;EOMONTH(DATE(YEAR('Falls Summary'!$E$7),MONTH('Falls Summary'!$E$7),1),0))</f>
        <v>0</v>
      </c>
      <c r="F51" s="136" t="str">
        <f>IFERROR(E51/$E$18," ")</f>
        <v xml:space="preserve"> </v>
      </c>
      <c r="G51" s="137">
        <f>COUNTIFS('Falls Data Entry'!$H$6:$H$423,"&lt;&gt;"&amp;" ",'Falls Data Entry'!$U$6:$U$423,"="&amp;"YES",'Falls Data Entry'!$H$6:$H$423,"&gt;="&amp;DATE(YEAR(VALUE('Falls Summary'!$E$8)),1,1),'Falls Data Entry'!$H$6:$H$423,"&lt;="&amp;DATE(YEAR(VALUE('Falls Summary'!$E$8)),12,31))</f>
        <v>0</v>
      </c>
      <c r="H51" s="138" t="str">
        <f>IFERROR(G51/$G$18," ")</f>
        <v xml:space="preserve"> </v>
      </c>
      <c r="I51" s="7"/>
      <c r="J51" s="7"/>
      <c r="K51" s="7"/>
      <c r="L51" s="7"/>
    </row>
    <row r="52" spans="1:12" ht="18" thickTop="1" x14ac:dyDescent="0.3">
      <c r="A52" s="46">
        <v>3</v>
      </c>
      <c r="C52" s="83"/>
      <c r="D52" s="84" t="str">
        <f>IF(ISNONTEXT($E$5),"",$E$5)</f>
        <v>Unit 1</v>
      </c>
      <c r="E52" s="16">
        <f>COUNTIFS('Falls Data Entry'!$H$6:$H$423,"&lt;&gt;"&amp;" ",'Falls Data Entry'!$U$6:$U$423,"="&amp;"YES",'Falls Data Entry'!$H$6:$H$423,"&gt;="&amp;DATE(YEAR('Falls Summary'!$E$7),MONTH('Falls Summary'!$E$7),1),'Falls Data Entry'!$H$6:$H$423,"&lt;="&amp;EOMONTH(DATE(YEAR('Falls Summary'!$E$7),MONTH('Falls Summary'!$E$7),1),0),'Falls Data Entry'!$A$6:$A$423,D52)</f>
        <v>0</v>
      </c>
      <c r="F52" s="95" t="str">
        <f>IFERROR(E52/$E$19," ")</f>
        <v xml:space="preserve"> </v>
      </c>
      <c r="G52" s="16">
        <f>COUNTIFS('Falls Data Entry'!$H$6:$H$423,"&lt;&gt;"&amp;" ",'Falls Data Entry'!$U$6:$U$423,"="&amp;"YES",'Falls Data Entry'!$H$6:$H$423,"&gt;="&amp;DATE(YEAR(VALUE('Falls Summary'!$E$8)),1,1),'Falls Data Entry'!$H$6:$H$423,"&lt;="&amp;DATE(YEAR(VALUE('Falls Summary'!$E$8)),12,31),'Falls Data Entry'!$A$6:$A$423,D52)</f>
        <v>0</v>
      </c>
      <c r="H52" s="95" t="str">
        <f>IFERROR(G52/$G$19," ")</f>
        <v xml:space="preserve"> </v>
      </c>
      <c r="I52" s="7"/>
      <c r="J52" s="7"/>
      <c r="K52" s="7"/>
      <c r="L52" s="7"/>
    </row>
    <row r="53" spans="1:12" ht="17.25" x14ac:dyDescent="0.3">
      <c r="A53" s="46">
        <v>3</v>
      </c>
      <c r="C53" s="83"/>
      <c r="D53" s="84" t="str">
        <f>IF(ISNONTEXT($F$5),"",$F$5)</f>
        <v>Unit 2</v>
      </c>
      <c r="E53" s="22">
        <f>COUNTIFS('Falls Data Entry'!$H$6:$H$423,"&lt;&gt;"&amp;" ",'Falls Data Entry'!$U$6:$U$423,"="&amp;"YES",'Falls Data Entry'!$H$6:$H$423,"&gt;="&amp;DATE(YEAR('Falls Summary'!$E$7),MONTH('Falls Summary'!$E$7),1),'Falls Data Entry'!$H$6:$H$423,"&lt;="&amp;EOMONTH(DATE(YEAR('Falls Summary'!$E$7),MONTH('Falls Summary'!$E$7),1),0),'Falls Data Entry'!$A$6:$A$423,D53)</f>
        <v>0</v>
      </c>
      <c r="F53" s="82" t="str">
        <f>IFERROR(E53/$E$20," ")</f>
        <v xml:space="preserve"> </v>
      </c>
      <c r="G53" s="22">
        <f>COUNTIFS('Falls Data Entry'!$H$6:$H$423,"&lt;&gt;"&amp;" ",'Falls Data Entry'!$U$6:$U$423,"="&amp;"YES",'Falls Data Entry'!$H$6:$H$423,"&gt;="&amp;DATE(YEAR(VALUE('Falls Summary'!$E$8)),1,1),'Falls Data Entry'!$H$6:$H$423,"&lt;="&amp;DATE(YEAR(VALUE('Falls Summary'!$E$8)),12,31),'Falls Data Entry'!$A$6:$A$423,D53)</f>
        <v>0</v>
      </c>
      <c r="H53" s="82" t="str">
        <f>IFERROR(G53/$G$20," ")</f>
        <v xml:space="preserve"> </v>
      </c>
      <c r="I53" s="7"/>
      <c r="J53" s="7"/>
      <c r="K53" s="7"/>
      <c r="L53" s="7"/>
    </row>
    <row r="54" spans="1:12" ht="18" thickBot="1" x14ac:dyDescent="0.35">
      <c r="A54" s="46">
        <v>3</v>
      </c>
      <c r="C54" s="83"/>
      <c r="D54" s="84" t="str">
        <f>IF(ISNONTEXT($G$5),"",$G$5)</f>
        <v>Unit 3</v>
      </c>
      <c r="E54" s="133">
        <f>COUNTIFS('Falls Data Entry'!$H$6:$H$423,"&lt;&gt;"&amp;" ",'Falls Data Entry'!$U$6:$U$423,"="&amp;"YES",'Falls Data Entry'!$H$6:$H$423,"&gt;="&amp;DATE(YEAR('Falls Summary'!$E$7),MONTH('Falls Summary'!$E$7),1),'Falls Data Entry'!$H$6:$H$423,"&lt;="&amp;EOMONTH(DATE(YEAR('Falls Summary'!$E$7),MONTH('Falls Summary'!$E$7),1),0),'Falls Data Entry'!$A$6:$A$423,D54)</f>
        <v>0</v>
      </c>
      <c r="F54" s="134" t="str">
        <f>IFERROR(E54/$E$21," ")</f>
        <v xml:space="preserve"> </v>
      </c>
      <c r="G54" s="133">
        <f>COUNTIFS('Falls Data Entry'!$H$6:$H$423,"&lt;&gt;"&amp;" ",'Falls Data Entry'!$U$6:$U$423,"="&amp;"YES",'Falls Data Entry'!$H$6:$H$423,"&gt;="&amp;DATE(YEAR(VALUE('Falls Summary'!$E$8)),1,1),'Falls Data Entry'!$H$6:$H$423,"&lt;="&amp;DATE(YEAR(VALUE('Falls Summary'!$E$8)),12,31),'Falls Data Entry'!$A$6:$A$423,D54)</f>
        <v>0</v>
      </c>
      <c r="H54" s="134" t="str">
        <f>IFERROR(G54/$G$21," ")</f>
        <v xml:space="preserve"> </v>
      </c>
      <c r="I54" s="7"/>
      <c r="J54" s="7"/>
      <c r="K54" s="7"/>
      <c r="L54" s="7"/>
    </row>
    <row r="55" spans="1:12" ht="18.75" thickTop="1" thickBot="1" x14ac:dyDescent="0.35">
      <c r="A55" s="46">
        <v>4</v>
      </c>
      <c r="C55" s="129" t="s">
        <v>25</v>
      </c>
      <c r="D55" s="130" t="s">
        <v>3</v>
      </c>
      <c r="E55" s="135">
        <f>COUNTIFS('Falls Data Entry'!$H$6:$H$423,"&lt;&gt;"&amp;" ",'Falls Data Entry'!$V$6:$V$423,"="&amp;"YES",'Falls Data Entry'!$H$6:$H$423,"&gt;="&amp;DATE(YEAR('Falls Summary'!$E$7),MONTH('Falls Summary'!$E$7),1),'Falls Data Entry'!$H$6:$H$423,"&lt;="&amp;EOMONTH(DATE(YEAR('Falls Summary'!$E$7),MONTH('Falls Summary'!$E$7),1),0))</f>
        <v>0</v>
      </c>
      <c r="F55" s="136" t="str">
        <f>IFERROR(E55/$E$18," ")</f>
        <v xml:space="preserve"> </v>
      </c>
      <c r="G55" s="137">
        <f>COUNTIFS('Falls Data Entry'!$H$6:$H$423,"&lt;&gt;"&amp;" ",'Falls Data Entry'!$V$6:$V$423,"="&amp;"YES",'Falls Data Entry'!$H$6:$H$423,"&gt;="&amp;DATE(YEAR(VALUE('Falls Summary'!$E$8)),1,1),'Falls Data Entry'!$H$6:$H$423,"&lt;="&amp;DATE(YEAR(VALUE('Falls Summary'!$E$8)),12,31))</f>
        <v>0</v>
      </c>
      <c r="H55" s="138" t="str">
        <f>IFERROR(G55/$G$18," ")</f>
        <v xml:space="preserve"> </v>
      </c>
      <c r="I55" s="7"/>
      <c r="J55" s="7"/>
      <c r="K55" s="7"/>
      <c r="L55" s="7"/>
    </row>
    <row r="56" spans="1:12" ht="18" thickTop="1" x14ac:dyDescent="0.3">
      <c r="A56" s="46">
        <v>4</v>
      </c>
      <c r="C56" s="87"/>
      <c r="D56" s="84" t="str">
        <f>IF(ISNONTEXT($E$5),"",$E$5)</f>
        <v>Unit 1</v>
      </c>
      <c r="E56" s="16">
        <f>COUNTIFS('Falls Data Entry'!$H$6:$H$423,"&lt;&gt;"&amp;" ",'Falls Data Entry'!$V$6:$V$423,"="&amp;"YES",'Falls Data Entry'!$H$6:$H$423,"&gt;="&amp;DATE(YEAR('Falls Summary'!$E$7),MONTH('Falls Summary'!$E$7),1),'Falls Data Entry'!$H$6:$H$423,"&lt;="&amp;EOMONTH(DATE(YEAR('Falls Summary'!$E$7),MONTH('Falls Summary'!$E$7),1),0),'Falls Data Entry'!$A$6:$A$423,D56)</f>
        <v>0</v>
      </c>
      <c r="F56" s="95" t="str">
        <f>IFERROR(E56/$E$19," ")</f>
        <v xml:space="preserve"> </v>
      </c>
      <c r="G56" s="16">
        <f>COUNTIFS('Falls Data Entry'!$H$6:$H$423,"&lt;&gt;"&amp;" ",'Falls Data Entry'!$V$6:$V$423,"="&amp;"YES",'Falls Data Entry'!$H$6:$H$423,"&gt;="&amp;DATE(YEAR(VALUE('Falls Summary'!$E$8)),1,1),'Falls Data Entry'!$H$6:$H$423,"&lt;="&amp;DATE(YEAR(VALUE('Falls Summary'!$E$8)),12,31),'Falls Data Entry'!$A$6:$A$423,D56)</f>
        <v>0</v>
      </c>
      <c r="H56" s="95" t="str">
        <f>IFERROR(G56/$G$19," ")</f>
        <v xml:space="preserve"> </v>
      </c>
      <c r="I56" s="7"/>
      <c r="J56" s="7"/>
      <c r="K56" s="7"/>
      <c r="L56" s="7"/>
    </row>
    <row r="57" spans="1:12" ht="17.25" x14ac:dyDescent="0.3">
      <c r="A57" s="46">
        <v>4</v>
      </c>
      <c r="C57" s="87"/>
      <c r="D57" s="84" t="str">
        <f>IF(ISNONTEXT($F$5),"",$F$5)</f>
        <v>Unit 2</v>
      </c>
      <c r="E57" s="22">
        <f>COUNTIFS('Falls Data Entry'!$H$6:$H$423,"&lt;&gt;"&amp;" ",'Falls Data Entry'!$V$6:$V$423,"="&amp;"YES",'Falls Data Entry'!$H$6:$H$423,"&gt;="&amp;DATE(YEAR('Falls Summary'!$E$7),MONTH('Falls Summary'!$E$7),1),'Falls Data Entry'!$H$6:$H$423,"&lt;="&amp;EOMONTH(DATE(YEAR('Falls Summary'!$E$7),MONTH('Falls Summary'!$E$7),1),0),'Falls Data Entry'!$A$6:$A$423,D57)</f>
        <v>0</v>
      </c>
      <c r="F57" s="82" t="str">
        <f>IFERROR(E57/$E$20," ")</f>
        <v xml:space="preserve"> </v>
      </c>
      <c r="G57" s="22">
        <f>COUNTIFS('Falls Data Entry'!$H$6:$H$423,"&lt;&gt;"&amp;" ",'Falls Data Entry'!$V$6:$V$423,"="&amp;"YES",'Falls Data Entry'!$H$6:$H$423,"&gt;="&amp;DATE(YEAR(VALUE('Falls Summary'!$E$8)),1,1),'Falls Data Entry'!$H$6:$H$423,"&lt;="&amp;DATE(YEAR(VALUE('Falls Summary'!$E$8)),12,31),'Falls Data Entry'!$A$6:$A$423,D57)</f>
        <v>0</v>
      </c>
      <c r="H57" s="82" t="str">
        <f>IFERROR(G57/$G$20," ")</f>
        <v xml:space="preserve"> </v>
      </c>
      <c r="I57" s="7"/>
      <c r="J57" s="7"/>
      <c r="K57" s="7"/>
      <c r="L57" s="7"/>
    </row>
    <row r="58" spans="1:12" ht="18" thickBot="1" x14ac:dyDescent="0.35">
      <c r="A58" s="46">
        <v>4</v>
      </c>
      <c r="C58" s="87"/>
      <c r="D58" s="84" t="str">
        <f>IF(ISNONTEXT($G$5),"",$G$5)</f>
        <v>Unit 3</v>
      </c>
      <c r="E58" s="133">
        <f>COUNTIFS('Falls Data Entry'!$H$6:$H$423,"&lt;&gt;"&amp;" ",'Falls Data Entry'!$V$6:$V$423,"="&amp;"YES",'Falls Data Entry'!$H$6:$H$423,"&gt;="&amp;DATE(YEAR('Falls Summary'!$E$7),MONTH('Falls Summary'!$E$7),1),'Falls Data Entry'!$H$6:$H$423,"&lt;="&amp;EOMONTH(DATE(YEAR('Falls Summary'!$E$7),MONTH('Falls Summary'!$E$7),1),0),'Falls Data Entry'!$A$6:$A$423,D58)</f>
        <v>0</v>
      </c>
      <c r="F58" s="134" t="str">
        <f>IFERROR(E58/$E$21," ")</f>
        <v xml:space="preserve"> </v>
      </c>
      <c r="G58" s="133">
        <f>COUNTIFS('Falls Data Entry'!$H$6:$H$423,"&lt;&gt;"&amp;" ",'Falls Data Entry'!$V$6:$V$423,"="&amp;"YES",'Falls Data Entry'!$H$6:$H$423,"&gt;="&amp;DATE(YEAR(VALUE('Falls Summary'!$E$8)),1,1),'Falls Data Entry'!$H$6:$H$423,"&lt;="&amp;DATE(YEAR(VALUE('Falls Summary'!$E$8)),12,31),'Falls Data Entry'!$A$6:$A$423,D58)</f>
        <v>0</v>
      </c>
      <c r="H58" s="134" t="str">
        <f>IFERROR(G58/$G$21," ")</f>
        <v xml:space="preserve"> </v>
      </c>
      <c r="I58" s="7"/>
      <c r="J58" s="7"/>
      <c r="K58" s="7"/>
      <c r="L58" s="7"/>
    </row>
    <row r="59" spans="1:12" ht="18.75" thickTop="1" thickBot="1" x14ac:dyDescent="0.35">
      <c r="A59" s="46">
        <v>5</v>
      </c>
      <c r="C59" s="129" t="s">
        <v>26</v>
      </c>
      <c r="D59" s="130" t="s">
        <v>3</v>
      </c>
      <c r="E59" s="135">
        <f>COUNTIFS('Falls Data Entry'!$H$6:$H$423,"&lt;&gt;"&amp;" ",'Falls Data Entry'!$W$6:$W$423,"="&amp;"YES",'Falls Data Entry'!$H$6:$H$423,"&gt;="&amp;DATE(YEAR('Falls Summary'!$E$7),MONTH('Falls Summary'!$E$7),1),'Falls Data Entry'!$H$6:$H$423,"&lt;="&amp;EOMONTH(DATE(YEAR('Falls Summary'!$E$7),MONTH('Falls Summary'!$E$7),1),0))</f>
        <v>0</v>
      </c>
      <c r="F59" s="136" t="str">
        <f>IFERROR(E59/$E$18," ")</f>
        <v xml:space="preserve"> </v>
      </c>
      <c r="G59" s="137">
        <f>COUNTIFS('Falls Data Entry'!$H$6:$H$423,"&lt;&gt;"&amp;" ",'Falls Data Entry'!$W$6:$W$423,"="&amp;"YES",'Falls Data Entry'!$H$6:$H$423,"&gt;="&amp;DATE(YEAR(VALUE('Falls Summary'!$E$8)),1,1),'Falls Data Entry'!$H$6:$H$423,"&lt;="&amp;DATE(YEAR(VALUE('Falls Summary'!$E$8)),12,31))</f>
        <v>0</v>
      </c>
      <c r="H59" s="138" t="str">
        <f>IFERROR(G59/$G$18," ")</f>
        <v xml:space="preserve"> </v>
      </c>
      <c r="I59" s="7"/>
      <c r="J59" s="7"/>
      <c r="K59" s="7"/>
      <c r="L59" s="7"/>
    </row>
    <row r="60" spans="1:12" ht="18" thickTop="1" x14ac:dyDescent="0.3">
      <c r="A60" s="46">
        <v>5</v>
      </c>
      <c r="C60" s="83"/>
      <c r="D60" s="84" t="str">
        <f>IF(ISNONTEXT($E$5),"",$E$5)</f>
        <v>Unit 1</v>
      </c>
      <c r="E60" s="16">
        <f>COUNTIFS('Falls Data Entry'!$H$6:$H$423,"&lt;&gt;"&amp;" ",'Falls Data Entry'!$W$6:$W$423,"="&amp;"YES",'Falls Data Entry'!$H$6:$H$423,"&gt;="&amp;DATE(YEAR('Falls Summary'!$E$7),MONTH('Falls Summary'!$E$7),1),'Falls Data Entry'!$H$6:$H$423,"&lt;="&amp;EOMONTH(DATE(YEAR('Falls Summary'!$E$7),MONTH('Falls Summary'!$E$7),1),0),'Falls Data Entry'!$A$6:$A$423,D60)</f>
        <v>0</v>
      </c>
      <c r="F60" s="95" t="str">
        <f>IFERROR(E60/$E$19," ")</f>
        <v xml:space="preserve"> </v>
      </c>
      <c r="G60" s="16">
        <f>COUNTIFS('Falls Data Entry'!$H$6:$H$423,"&lt;&gt;"&amp;" ",'Falls Data Entry'!$W$6:$W$423,"="&amp;"YES",'Falls Data Entry'!$H$6:$H$423,"&gt;="&amp;DATE(YEAR(VALUE('Falls Summary'!$E$8)),1,1),'Falls Data Entry'!$H$6:$H$423,"&lt;="&amp;DATE(YEAR(VALUE('Falls Summary'!$E$8)),12,31),'Falls Data Entry'!$A$6:$A$423,D60)</f>
        <v>0</v>
      </c>
      <c r="H60" s="95" t="str">
        <f>IFERROR(G60/$G$19," ")</f>
        <v xml:space="preserve"> </v>
      </c>
      <c r="I60" s="7"/>
      <c r="J60" s="7"/>
      <c r="K60" s="7"/>
      <c r="L60" s="7"/>
    </row>
    <row r="61" spans="1:12" ht="17.25" x14ac:dyDescent="0.3">
      <c r="A61" s="46">
        <v>5</v>
      </c>
      <c r="C61" s="83"/>
      <c r="D61" s="84" t="str">
        <f>IF(ISNONTEXT($F$5),"",$F$5)</f>
        <v>Unit 2</v>
      </c>
      <c r="E61" s="22">
        <f>COUNTIFS('Falls Data Entry'!$H$6:$H$423,"&lt;&gt;"&amp;" ",'Falls Data Entry'!$W$6:$W$423,"="&amp;"YES",'Falls Data Entry'!$H$6:$H$423,"&gt;="&amp;DATE(YEAR('Falls Summary'!$E$7),MONTH('Falls Summary'!$E$7),1),'Falls Data Entry'!$H$6:$H$423,"&lt;="&amp;EOMONTH(DATE(YEAR('Falls Summary'!$E$7),MONTH('Falls Summary'!$E$7),1),0),'Falls Data Entry'!$A$6:$A$423,D61)</f>
        <v>0</v>
      </c>
      <c r="F61" s="82" t="str">
        <f>IFERROR(E61/$E$20," ")</f>
        <v xml:space="preserve"> </v>
      </c>
      <c r="G61" s="22">
        <f>COUNTIFS('Falls Data Entry'!$H$6:$H$423,"&lt;&gt;"&amp;" ",'Falls Data Entry'!$W$6:$W$423,"="&amp;"YES",'Falls Data Entry'!$H$6:$H$423,"&gt;="&amp;DATE(YEAR(VALUE('Falls Summary'!$E$8)),1,1),'Falls Data Entry'!$H$6:$H$423,"&lt;="&amp;DATE(YEAR(VALUE('Falls Summary'!$E$8)),12,31),'Falls Data Entry'!$A$6:$A$423,D61)</f>
        <v>0</v>
      </c>
      <c r="H61" s="82" t="str">
        <f>IFERROR(G61/$G$20," ")</f>
        <v xml:space="preserve"> </v>
      </c>
      <c r="I61" s="7"/>
      <c r="J61" s="7"/>
      <c r="K61" s="7"/>
      <c r="L61" s="7"/>
    </row>
    <row r="62" spans="1:12" ht="18" thickBot="1" x14ac:dyDescent="0.35">
      <c r="A62" s="46">
        <v>5</v>
      </c>
      <c r="C62" s="83"/>
      <c r="D62" s="84" t="str">
        <f>IF(ISNONTEXT($G$5),"",$G$5)</f>
        <v>Unit 3</v>
      </c>
      <c r="E62" s="133">
        <f>COUNTIFS('Falls Data Entry'!$H$6:$H$423,"&lt;&gt;"&amp;" ",'Falls Data Entry'!$W$6:$W$423,"="&amp;"YES",'Falls Data Entry'!$H$6:$H$423,"&gt;="&amp;DATE(YEAR('Falls Summary'!$E$7),MONTH('Falls Summary'!$E$7),1),'Falls Data Entry'!$H$6:$H$423,"&lt;="&amp;EOMONTH(DATE(YEAR('Falls Summary'!$E$7),MONTH('Falls Summary'!$E$7),1),0),'Falls Data Entry'!$A$6:$A$423,D62)</f>
        <v>0</v>
      </c>
      <c r="F62" s="134" t="str">
        <f>IFERROR(E62/$E$21," ")</f>
        <v xml:space="preserve"> </v>
      </c>
      <c r="G62" s="133">
        <f>COUNTIFS('Falls Data Entry'!$H$6:$H$423,"&lt;&gt;"&amp;" ",'Falls Data Entry'!$W$6:$W$423,"="&amp;"YES",'Falls Data Entry'!$H$6:$H$423,"&gt;="&amp;DATE(YEAR(VALUE('Falls Summary'!$E$8)),1,1),'Falls Data Entry'!$H$6:$H$423,"&lt;="&amp;DATE(YEAR(VALUE('Falls Summary'!$E$8)),12,31),'Falls Data Entry'!$A$6:$A$423,D62)</f>
        <v>0</v>
      </c>
      <c r="H62" s="134" t="str">
        <f>IFERROR(G62/$G$21," ")</f>
        <v xml:space="preserve"> </v>
      </c>
      <c r="I62" s="7"/>
      <c r="J62" s="7"/>
      <c r="K62" s="7"/>
      <c r="L62" s="7"/>
    </row>
    <row r="63" spans="1:12" ht="18.75" thickTop="1" thickBot="1" x14ac:dyDescent="0.35">
      <c r="A63" s="46">
        <v>6</v>
      </c>
      <c r="C63" s="129" t="s">
        <v>27</v>
      </c>
      <c r="D63" s="130" t="s">
        <v>3</v>
      </c>
      <c r="E63" s="135">
        <f>COUNTIFS('Falls Data Entry'!$H$6:$H$423,"&lt;&gt;"&amp;" ",'Falls Data Entry'!$X$6:$X$423,"="&amp;"YES",'Falls Data Entry'!$H$6:$H$423,"&gt;="&amp;DATE(YEAR('Falls Summary'!$E$7),MONTH('Falls Summary'!$E$7),1),'Falls Data Entry'!$H$6:$H$423,"&lt;="&amp;EOMONTH(DATE(YEAR('Falls Summary'!$E$7),MONTH('Falls Summary'!$E$7),1),0))</f>
        <v>0</v>
      </c>
      <c r="F63" s="136" t="str">
        <f>IFERROR(E63/$E$18," ")</f>
        <v xml:space="preserve"> </v>
      </c>
      <c r="G63" s="137">
        <f>COUNTIFS('Falls Data Entry'!$H$6:$H$423,"&lt;&gt;"&amp;" ",'Falls Data Entry'!$X$6:$X$423,"="&amp;"YES",'Falls Data Entry'!$H$6:$H$423,"&gt;="&amp;DATE(YEAR(VALUE('Falls Summary'!$E$8)),1,1),'Falls Data Entry'!$H$6:$H$423,"&lt;="&amp;DATE(YEAR(VALUE('Falls Summary'!$E$8)),12,31))</f>
        <v>0</v>
      </c>
      <c r="H63" s="138" t="str">
        <f>IFERROR(G63/$G$18," ")</f>
        <v xml:space="preserve"> </v>
      </c>
      <c r="I63" s="7"/>
      <c r="J63" s="7"/>
      <c r="K63" s="7"/>
      <c r="L63" s="7"/>
    </row>
    <row r="64" spans="1:12" ht="18" thickTop="1" x14ac:dyDescent="0.3">
      <c r="A64" s="46">
        <v>6</v>
      </c>
      <c r="C64" s="83"/>
      <c r="D64" s="84" t="str">
        <f>IF(ISNONTEXT($E$5),"",$E$5)</f>
        <v>Unit 1</v>
      </c>
      <c r="E64" s="16">
        <f>COUNTIFS('Falls Data Entry'!$H$6:$H$423,"&lt;&gt;"&amp;" ",'Falls Data Entry'!$X$6:$X$423,"="&amp;"YES",'Falls Data Entry'!$H$6:$H$423,"&gt;="&amp;DATE(YEAR('Falls Summary'!$E$7),MONTH('Falls Summary'!$E$7),1),'Falls Data Entry'!$H$6:$H$423,"&lt;="&amp;EOMONTH(DATE(YEAR('Falls Summary'!$E$7),MONTH('Falls Summary'!$E$7),1),0),'Falls Data Entry'!$A$6:$A$423,D64)</f>
        <v>0</v>
      </c>
      <c r="F64" s="95" t="str">
        <f>IFERROR(E64/$E$19," ")</f>
        <v xml:space="preserve"> </v>
      </c>
      <c r="G64" s="16">
        <f>COUNTIFS('Falls Data Entry'!$H$6:$H$423,"&lt;&gt;"&amp;" ",'Falls Data Entry'!$X$6:$X$423,"="&amp;"YES",'Falls Data Entry'!$H$6:$H$423,"&gt;="&amp;DATE(YEAR(VALUE('Falls Summary'!$E$8)),1,1),'Falls Data Entry'!$H$6:$H$423,"&lt;="&amp;DATE(YEAR(VALUE('Falls Summary'!$E$8)),12,31),'Falls Data Entry'!$A$6:$A$423,D64)</f>
        <v>0</v>
      </c>
      <c r="H64" s="95" t="str">
        <f>IFERROR(G64/$G$19," ")</f>
        <v xml:space="preserve"> </v>
      </c>
      <c r="I64" s="7"/>
      <c r="J64" s="7"/>
      <c r="K64" s="7"/>
      <c r="L64" s="7"/>
    </row>
    <row r="65" spans="1:8" ht="17.25" x14ac:dyDescent="0.3">
      <c r="A65" s="46">
        <v>6</v>
      </c>
      <c r="C65" s="83"/>
      <c r="D65" s="84" t="str">
        <f>IF(ISNONTEXT($F$5),"",$F$5)</f>
        <v>Unit 2</v>
      </c>
      <c r="E65" s="22">
        <f>COUNTIFS('Falls Data Entry'!$H$6:$H$423,"&lt;&gt;"&amp;" ",'Falls Data Entry'!$X$6:$X$423,"="&amp;"YES",'Falls Data Entry'!$H$6:$H$423,"&gt;="&amp;DATE(YEAR('Falls Summary'!$E$7),MONTH('Falls Summary'!$E$7),1),'Falls Data Entry'!$H$6:$H$423,"&lt;="&amp;EOMONTH(DATE(YEAR('Falls Summary'!$E$7),MONTH('Falls Summary'!$E$7),1),0),'Falls Data Entry'!$A$6:$A$423,D65)</f>
        <v>0</v>
      </c>
      <c r="F65" s="82" t="str">
        <f>IFERROR(E65/$E$20," ")</f>
        <v xml:space="preserve"> </v>
      </c>
      <c r="G65" s="22">
        <f>COUNTIFS('Falls Data Entry'!$H$6:$H$423,"&lt;&gt;"&amp;" ",'Falls Data Entry'!$X$6:$X$423,"="&amp;"YES",'Falls Data Entry'!$H$6:$H$423,"&gt;="&amp;DATE(YEAR(VALUE('Falls Summary'!$E$8)),1,1),'Falls Data Entry'!$H$6:$H$423,"&lt;="&amp;DATE(YEAR(VALUE('Falls Summary'!$E$8)),12,31),'Falls Data Entry'!$A$6:$A$423,D65)</f>
        <v>0</v>
      </c>
      <c r="H65" s="82" t="str">
        <f>IFERROR(G65/$G$20," ")</f>
        <v xml:space="preserve"> </v>
      </c>
    </row>
    <row r="66" spans="1:8" ht="18" thickBot="1" x14ac:dyDescent="0.35">
      <c r="A66" s="46">
        <v>6</v>
      </c>
      <c r="C66" s="83"/>
      <c r="D66" s="84" t="str">
        <f>IF(ISNONTEXT($G$5),"",$G$5)</f>
        <v>Unit 3</v>
      </c>
      <c r="E66" s="133">
        <f>COUNTIFS('Falls Data Entry'!$H$6:$H$423,"&lt;&gt;"&amp;" ",'Falls Data Entry'!$X$6:$X$423,"="&amp;"YES",'Falls Data Entry'!$H$6:$H$423,"&gt;="&amp;DATE(YEAR('Falls Summary'!$E$7),MONTH('Falls Summary'!$E$7),1),'Falls Data Entry'!$H$6:$H$423,"&lt;="&amp;EOMONTH(DATE(YEAR('Falls Summary'!$E$7),MONTH('Falls Summary'!$E$7),1),0),'Falls Data Entry'!$A$6:$A$423,D66)</f>
        <v>0</v>
      </c>
      <c r="F66" s="134" t="str">
        <f>IFERROR(E66/$E$21," ")</f>
        <v xml:space="preserve"> </v>
      </c>
      <c r="G66" s="133">
        <f>COUNTIFS('Falls Data Entry'!$H$6:$H$423,"&lt;&gt;"&amp;" ",'Falls Data Entry'!$X$6:$X$423,"="&amp;"YES",'Falls Data Entry'!$H$6:$H$423,"&gt;="&amp;DATE(YEAR(VALUE('Falls Summary'!$E$8)),1,1),'Falls Data Entry'!$H$6:$H$423,"&lt;="&amp;DATE(YEAR(VALUE('Falls Summary'!$E$8)),12,31),'Falls Data Entry'!$A$6:$A$423,D66)</f>
        <v>0</v>
      </c>
      <c r="H66" s="134" t="str">
        <f>IFERROR(G66/$G$21," ")</f>
        <v xml:space="preserve"> </v>
      </c>
    </row>
    <row r="67" spans="1:8" ht="18.75" thickTop="1" thickBot="1" x14ac:dyDescent="0.35">
      <c r="A67" s="46">
        <v>7</v>
      </c>
      <c r="C67" s="129" t="s">
        <v>28</v>
      </c>
      <c r="D67" s="130" t="s">
        <v>3</v>
      </c>
      <c r="E67" s="135">
        <f>COUNTIFS('Falls Data Entry'!$H$6:$H$423,"&lt;&gt;"&amp;" ",'Falls Data Entry'!$Y$6:$Y$423,"="&amp;"YES",'Falls Data Entry'!$H$6:$H$423,"&gt;="&amp;DATE(YEAR('Falls Summary'!$E$7),MONTH('Falls Summary'!$E$7),1),'Falls Data Entry'!$H$6:$H$423,"&lt;="&amp;EOMONTH(DATE(YEAR('Falls Summary'!$E$7),MONTH('Falls Summary'!$E$7),1),0))</f>
        <v>0</v>
      </c>
      <c r="F67" s="136" t="str">
        <f>IFERROR(E67/$E$18," ")</f>
        <v xml:space="preserve"> </v>
      </c>
      <c r="G67" s="137">
        <f>COUNTIFS('Falls Data Entry'!$H$6:$H$423,"&lt;&gt;"&amp;" ",'Falls Data Entry'!$Y$6:$Y$423,"="&amp;"YES",'Falls Data Entry'!$H$6:$H$423,"&gt;="&amp;DATE(YEAR(VALUE('Falls Summary'!$E$8)),1,1),'Falls Data Entry'!$H$6:$H$423,"&lt;="&amp;DATE(YEAR(VALUE('Falls Summary'!$E$8)),12,31))</f>
        <v>0</v>
      </c>
      <c r="H67" s="138" t="str">
        <f>IFERROR(G67/$G$18," ")</f>
        <v xml:space="preserve"> </v>
      </c>
    </row>
    <row r="68" spans="1:8" ht="18" thickTop="1" x14ac:dyDescent="0.3">
      <c r="A68" s="46">
        <v>7</v>
      </c>
      <c r="B68" s="47" t="s">
        <v>23</v>
      </c>
      <c r="C68" s="83"/>
      <c r="D68" s="84" t="str">
        <f>IF(ISNONTEXT($E$5),"",$E$5)</f>
        <v>Unit 1</v>
      </c>
      <c r="E68" s="16">
        <f>COUNTIFS('Falls Data Entry'!$H$6:$H$423,"&lt;&gt;"&amp;" ",'Falls Data Entry'!$Y$6:$Y$423,"="&amp;"YES",'Falls Data Entry'!$H$6:$H$423,"&gt;="&amp;DATE(YEAR('Falls Summary'!$E$7),MONTH('Falls Summary'!$E$7),1),'Falls Data Entry'!$H$6:$H$423,"&lt;="&amp;EOMONTH(DATE(YEAR('Falls Summary'!$E$7),MONTH('Falls Summary'!$E$7),1),0),'Falls Data Entry'!$A$6:$A$423,D68)</f>
        <v>0</v>
      </c>
      <c r="F68" s="95" t="str">
        <f>IFERROR(E68/$E$19," ")</f>
        <v xml:space="preserve"> </v>
      </c>
      <c r="G68" s="16">
        <f>COUNTIFS('Falls Data Entry'!$H$6:$H$423,"&lt;&gt;"&amp;" ",'Falls Data Entry'!$Y$6:$Y$423,"="&amp;"YES",'Falls Data Entry'!$H$6:$H$423,"&gt;="&amp;DATE(YEAR(VALUE('Falls Summary'!$E$8)),1,1),'Falls Data Entry'!$H$6:$H$423,"&lt;="&amp;DATE(YEAR(VALUE('Falls Summary'!$E$8)),12,31),'Falls Data Entry'!$A$6:$A$423,D68)</f>
        <v>0</v>
      </c>
      <c r="H68" s="95" t="str">
        <f>IFERROR(G68/$G$19," ")</f>
        <v xml:space="preserve"> </v>
      </c>
    </row>
    <row r="69" spans="1:8" ht="17.25" x14ac:dyDescent="0.3">
      <c r="A69" s="46">
        <v>7</v>
      </c>
      <c r="B69" s="47" t="s">
        <v>24</v>
      </c>
      <c r="C69" s="83"/>
      <c r="D69" s="84" t="str">
        <f>IF(ISNONTEXT($F$5),"",$F$5)</f>
        <v>Unit 2</v>
      </c>
      <c r="E69" s="22">
        <f>COUNTIFS('Falls Data Entry'!$H$6:$H$423,"&lt;&gt;"&amp;" ",'Falls Data Entry'!$Y$6:$Y$423,"="&amp;"YES",'Falls Data Entry'!$H$6:$H$423,"&gt;="&amp;DATE(YEAR('Falls Summary'!$E$7),MONTH('Falls Summary'!$E$7),1),'Falls Data Entry'!$H$6:$H$423,"&lt;="&amp;EOMONTH(DATE(YEAR('Falls Summary'!$E$7),MONTH('Falls Summary'!$E$7),1),0),'Falls Data Entry'!$A$6:$A$423,D69)</f>
        <v>0</v>
      </c>
      <c r="F69" s="82" t="str">
        <f>IFERROR(E69/$E$20," ")</f>
        <v xml:space="preserve"> </v>
      </c>
      <c r="G69" s="22">
        <f>COUNTIFS('Falls Data Entry'!$H$6:$H$423,"&lt;&gt;"&amp;" ",'Falls Data Entry'!$Y$6:$Y$423,"="&amp;"YES",'Falls Data Entry'!$H$6:$H$423,"&gt;="&amp;DATE(YEAR(VALUE('Falls Summary'!$E$8)),1,1),'Falls Data Entry'!$H$6:$H$423,"&lt;="&amp;DATE(YEAR(VALUE('Falls Summary'!$E$8)),12,31),'Falls Data Entry'!$A$6:$A$423,D69)</f>
        <v>0</v>
      </c>
      <c r="H69" s="82" t="str">
        <f>IFERROR(G69/$G$20," ")</f>
        <v xml:space="preserve"> </v>
      </c>
    </row>
    <row r="70" spans="1:8" ht="18" thickBot="1" x14ac:dyDescent="0.35">
      <c r="A70" s="46">
        <v>7</v>
      </c>
      <c r="B70" s="47" t="s">
        <v>25</v>
      </c>
      <c r="C70" s="83"/>
      <c r="D70" s="84" t="str">
        <f>IF(ISNONTEXT($G$5),"",$G$5)</f>
        <v>Unit 3</v>
      </c>
      <c r="E70" s="133">
        <f>COUNTIFS('Falls Data Entry'!$H$6:$H$423,"&lt;&gt;"&amp;" ",'Falls Data Entry'!$Y$6:$Y$423,"="&amp;"YES",'Falls Data Entry'!$H$6:$H$423,"&gt;="&amp;DATE(YEAR('Falls Summary'!$E$7),MONTH('Falls Summary'!$E$7),1),'Falls Data Entry'!$H$6:$H$423,"&lt;="&amp;EOMONTH(DATE(YEAR('Falls Summary'!$E$7),MONTH('Falls Summary'!$E$7),1),0),'Falls Data Entry'!$A$6:$A$423,D70)</f>
        <v>0</v>
      </c>
      <c r="F70" s="134" t="str">
        <f>IFERROR(E70/$E$21," ")</f>
        <v xml:space="preserve"> </v>
      </c>
      <c r="G70" s="133">
        <f>COUNTIFS('Falls Data Entry'!$H$6:$H$423,"&lt;&gt;"&amp;" ",'Falls Data Entry'!$Y$6:$Y$423,"="&amp;"YES",'Falls Data Entry'!$H$6:$H$423,"&gt;="&amp;DATE(YEAR(VALUE('Falls Summary'!$E$8)),1,1),'Falls Data Entry'!$H$6:$H$423,"&lt;="&amp;DATE(YEAR(VALUE('Falls Summary'!$E$8)),12,31),'Falls Data Entry'!$A$6:$A$423,D70)</f>
        <v>0</v>
      </c>
      <c r="H70" s="134" t="str">
        <f>IFERROR(G70/$G$21," ")</f>
        <v xml:space="preserve"> </v>
      </c>
    </row>
    <row r="71" spans="1:8" ht="18.75" thickTop="1" thickBot="1" x14ac:dyDescent="0.35">
      <c r="A71" s="46">
        <v>8</v>
      </c>
      <c r="B71" s="47" t="s">
        <v>26</v>
      </c>
      <c r="C71" s="129" t="s">
        <v>29</v>
      </c>
      <c r="D71" s="130" t="s">
        <v>3</v>
      </c>
      <c r="E71" s="135">
        <f>COUNTIFS('Falls Data Entry'!$H$6:$H$423,"&lt;&gt;"&amp;" ",'Falls Data Entry'!$Z$6:$Z$423,"="&amp;"YES",'Falls Data Entry'!$H$6:$H$423,"&gt;="&amp;DATE(YEAR('Falls Summary'!$E$7),MONTH('Falls Summary'!$E$7),1),'Falls Data Entry'!$H$6:$H$423,"&lt;="&amp;EOMONTH(DATE(YEAR('Falls Summary'!$E$7),MONTH('Falls Summary'!$E$7),1),0))</f>
        <v>0</v>
      </c>
      <c r="F71" s="136" t="str">
        <f>IFERROR(E71/$E$18," ")</f>
        <v xml:space="preserve"> </v>
      </c>
      <c r="G71" s="137">
        <f>COUNTIFS('Falls Data Entry'!$H$6:$H$423,"&lt;&gt;"&amp;" ",'Falls Data Entry'!$Z$6:$Z$423,"="&amp;"YES",'Falls Data Entry'!$H$6:$H$423,"&gt;="&amp;DATE(YEAR(VALUE('Falls Summary'!$E$8)),1,1),'Falls Data Entry'!$H$6:$H$423,"&lt;="&amp;DATE(YEAR(VALUE('Falls Summary'!$E$8)),12,31))</f>
        <v>0</v>
      </c>
      <c r="H71" s="138" t="str">
        <f>IFERROR(G71/$G$18," ")</f>
        <v xml:space="preserve"> </v>
      </c>
    </row>
    <row r="72" spans="1:8" ht="18" thickTop="1" x14ac:dyDescent="0.3">
      <c r="A72" s="46">
        <v>8</v>
      </c>
      <c r="B72" s="47" t="s">
        <v>27</v>
      </c>
      <c r="C72" s="87"/>
      <c r="D72" s="84" t="str">
        <f>IF(ISNONTEXT($E$5),"",$E$5)</f>
        <v>Unit 1</v>
      </c>
      <c r="E72" s="16">
        <f>COUNTIFS('Falls Data Entry'!$H$6:$H$423,"&lt;&gt;"&amp;" ",'Falls Data Entry'!$Z$6:$Z$423,"="&amp;"YES",'Falls Data Entry'!$H$6:$H$423,"&gt;="&amp;DATE(YEAR('Falls Summary'!$E$7),MONTH('Falls Summary'!$E$7),1),'Falls Data Entry'!$H$6:$H$423,"&lt;="&amp;EOMONTH(DATE(YEAR('Falls Summary'!$E$7),MONTH('Falls Summary'!$E$7),1),0),'Falls Data Entry'!$A$6:$A$423,D72)</f>
        <v>0</v>
      </c>
      <c r="F72" s="95" t="str">
        <f>IFERROR(E72/$E$19," ")</f>
        <v xml:space="preserve"> </v>
      </c>
      <c r="G72" s="16">
        <f>COUNTIFS('Falls Data Entry'!$H$6:$H$423,"&lt;&gt;"&amp;" ",'Falls Data Entry'!$Z$6:$Z$423,"="&amp;"YES",'Falls Data Entry'!$H$6:$H$423,"&gt;="&amp;DATE(YEAR(VALUE('Falls Summary'!$E$8)),1,1),'Falls Data Entry'!$H$6:$H$423,"&lt;="&amp;DATE(YEAR(VALUE('Falls Summary'!$E$8)),12,31),'Falls Data Entry'!$A$6:$A$423,D72)</f>
        <v>0</v>
      </c>
      <c r="H72" s="95" t="str">
        <f>IFERROR(G72/$G$19," ")</f>
        <v xml:space="preserve"> </v>
      </c>
    </row>
    <row r="73" spans="1:8" ht="17.25" x14ac:dyDescent="0.3">
      <c r="A73" s="46">
        <v>8</v>
      </c>
      <c r="B73" s="47" t="s">
        <v>34</v>
      </c>
      <c r="C73" s="87"/>
      <c r="D73" s="84" t="str">
        <f>IF(ISNONTEXT($F$5),"",$F$5)</f>
        <v>Unit 2</v>
      </c>
      <c r="E73" s="22">
        <f>COUNTIFS('Falls Data Entry'!$H$6:$H$423,"&lt;&gt;"&amp;" ",'Falls Data Entry'!$Z$6:$Z$423,"="&amp;"YES",'Falls Data Entry'!$H$6:$H$423,"&gt;="&amp;DATE(YEAR('Falls Summary'!$E$7),MONTH('Falls Summary'!$E$7),1),'Falls Data Entry'!$H$6:$H$423,"&lt;="&amp;EOMONTH(DATE(YEAR('Falls Summary'!$E$7),MONTH('Falls Summary'!$E$7),1),0),'Falls Data Entry'!$A$6:$A$423,D73)</f>
        <v>0</v>
      </c>
      <c r="F73" s="82" t="str">
        <f>IFERROR(E73/$E$20," ")</f>
        <v xml:space="preserve"> </v>
      </c>
      <c r="G73" s="22">
        <f>COUNTIFS('Falls Data Entry'!$H$6:$H$423,"&lt;&gt;"&amp;" ",'Falls Data Entry'!$Z$6:$Z$423,"="&amp;"YES",'Falls Data Entry'!$H$6:$H$423,"&gt;="&amp;DATE(YEAR(VALUE('Falls Summary'!$E$8)),1,1),'Falls Data Entry'!$H$6:$H$423,"&lt;="&amp;DATE(YEAR(VALUE('Falls Summary'!$E$8)),12,31),'Falls Data Entry'!$A$6:$A$423,D73)</f>
        <v>0</v>
      </c>
      <c r="H73" s="82" t="str">
        <f>IFERROR(G73/$G$20," ")</f>
        <v xml:space="preserve"> </v>
      </c>
    </row>
    <row r="74" spans="1:8" ht="18" thickBot="1" x14ac:dyDescent="0.35">
      <c r="A74" s="46">
        <v>8</v>
      </c>
      <c r="B74" s="47" t="s">
        <v>29</v>
      </c>
      <c r="C74" s="87"/>
      <c r="D74" s="84" t="str">
        <f>IF(ISNONTEXT($G$5),"",$G$5)</f>
        <v>Unit 3</v>
      </c>
      <c r="E74" s="133">
        <f>COUNTIFS('Falls Data Entry'!$H$6:$H$423,"&lt;&gt;"&amp;" ",'Falls Data Entry'!$Z$6:$Z$423,"="&amp;"YES",'Falls Data Entry'!$H$6:$H$423,"&gt;="&amp;DATE(YEAR('Falls Summary'!$E$7),MONTH('Falls Summary'!$E$7),1),'Falls Data Entry'!$H$6:$H$423,"&lt;="&amp;EOMONTH(DATE(YEAR('Falls Summary'!$E$7),MONTH('Falls Summary'!$E$7),1),0),'Falls Data Entry'!$A$6:$A$423,D74)</f>
        <v>0</v>
      </c>
      <c r="F74" s="134" t="str">
        <f>IFERROR(E74/$E$21," ")</f>
        <v xml:space="preserve"> </v>
      </c>
      <c r="G74" s="133">
        <f>COUNTIFS('Falls Data Entry'!$H$6:$H$423,"&lt;&gt;"&amp;" ",'Falls Data Entry'!$Z$6:$Z$423,"="&amp;"YES",'Falls Data Entry'!$H$6:$H$423,"&gt;="&amp;DATE(YEAR(VALUE('Falls Summary'!$E$8)),1,1),'Falls Data Entry'!$H$6:$H$423,"&lt;="&amp;DATE(YEAR(VALUE('Falls Summary'!$E$8)),12,31),'Falls Data Entry'!$A$6:$A$423,D74)</f>
        <v>0</v>
      </c>
      <c r="H74" s="134" t="str">
        <f>IFERROR(G74/$G$21," ")</f>
        <v xml:space="preserve"> </v>
      </c>
    </row>
    <row r="75" spans="1:8" ht="18.75" thickTop="1" thickBot="1" x14ac:dyDescent="0.35">
      <c r="A75" s="46">
        <v>9</v>
      </c>
      <c r="B75" s="46" t="s">
        <v>32</v>
      </c>
      <c r="C75" s="129" t="s">
        <v>32</v>
      </c>
      <c r="D75" s="130" t="s">
        <v>3</v>
      </c>
      <c r="E75" s="135">
        <f>COUNTIFS('Falls Data Entry'!$H$6:$H$423,"&lt;&gt;"&amp;" ",'Falls Data Entry'!$AA$6:$AA$423,"="&amp;"YES",'Falls Data Entry'!$H$6:$H$423,"&gt;="&amp;DATE(YEAR('Falls Summary'!$E$7),MONTH('Falls Summary'!$E$7),1),'Falls Data Entry'!$H$6:$H$423,"&lt;="&amp;EOMONTH(DATE(YEAR('Falls Summary'!$E$7),MONTH('Falls Summary'!$E$7),1),0))</f>
        <v>0</v>
      </c>
      <c r="F75" s="136" t="str">
        <f>IFERROR(E75/$E$18," ")</f>
        <v xml:space="preserve"> </v>
      </c>
      <c r="G75" s="137">
        <f>COUNTIFS('Falls Data Entry'!$H$6:$H$423,"&lt;&gt;"&amp;" ",'Falls Data Entry'!$AA$6:$AA$423,"="&amp;"YES",'Falls Data Entry'!$H$6:$H$423,"&gt;="&amp;DATE(YEAR(VALUE('Falls Summary'!$E$8)),1,1),'Falls Data Entry'!$H$6:$H$423,"&lt;="&amp;DATE(YEAR(VALUE('Falls Summary'!$E$8)),12,31))</f>
        <v>0</v>
      </c>
      <c r="H75" s="138" t="str">
        <f>IFERROR(G75/$G$18," ")</f>
        <v xml:space="preserve"> </v>
      </c>
    </row>
    <row r="76" spans="1:8" ht="18" thickTop="1" x14ac:dyDescent="0.3">
      <c r="A76" s="46">
        <v>9</v>
      </c>
      <c r="C76" s="87"/>
      <c r="D76" s="84" t="str">
        <f>IF(ISNONTEXT($E$5),"",$E$5)</f>
        <v>Unit 1</v>
      </c>
      <c r="E76" s="16">
        <f>COUNTIFS('Falls Data Entry'!$H$6:$H$423,"&lt;&gt;"&amp;" ",'Falls Data Entry'!$AA$6:$AA$423,"="&amp;"YES",'Falls Data Entry'!$H$6:$H$423,"&gt;="&amp;DATE(YEAR('Falls Summary'!$E$7),MONTH('Falls Summary'!$E$7),1),'Falls Data Entry'!$H$6:$H$423,"&lt;="&amp;EOMONTH(DATE(YEAR('Falls Summary'!$E$7),MONTH('Falls Summary'!$E$7),1),0),'Falls Data Entry'!$A$6:$A$423,D76)</f>
        <v>0</v>
      </c>
      <c r="F76" s="95" t="str">
        <f>IFERROR(E76/$E$19," ")</f>
        <v xml:space="preserve"> </v>
      </c>
      <c r="G76" s="16">
        <f>COUNTIFS('Falls Data Entry'!$H$6:$H$423,"&lt;&gt;"&amp;" ",'Falls Data Entry'!$AA$6:$AA$423,"="&amp;"YES",'Falls Data Entry'!$H$6:$H$423,"&gt;="&amp;DATE(YEAR(VALUE('Falls Summary'!$E$8)),1,1),'Falls Data Entry'!$H$6:$H$423,"&lt;="&amp;DATE(YEAR(VALUE('Falls Summary'!$E$8)),12,31),'Falls Data Entry'!$A$6:$A$423,D76)</f>
        <v>0</v>
      </c>
      <c r="H76" s="95" t="str">
        <f>IFERROR(G76/$G$19," ")</f>
        <v xml:space="preserve"> </v>
      </c>
    </row>
    <row r="77" spans="1:8" ht="17.25" x14ac:dyDescent="0.3">
      <c r="A77" s="46">
        <v>9</v>
      </c>
      <c r="C77" s="87"/>
      <c r="D77" s="84" t="str">
        <f>IF(ISNONTEXT($F$5),"",$F$5)</f>
        <v>Unit 2</v>
      </c>
      <c r="E77" s="22">
        <f>COUNTIFS('Falls Data Entry'!$H$6:$H$423,"&lt;&gt;"&amp;" ",'Falls Data Entry'!$AA$6:$AA$423,"="&amp;"YES",'Falls Data Entry'!$H$6:$H$423,"&gt;="&amp;DATE(YEAR('Falls Summary'!$E$7),MONTH('Falls Summary'!$E$7),1),'Falls Data Entry'!$H$6:$H$423,"&lt;="&amp;EOMONTH(DATE(YEAR('Falls Summary'!$E$7),MONTH('Falls Summary'!$E$7),1),0),'Falls Data Entry'!$A$6:$A$423,D77)</f>
        <v>0</v>
      </c>
      <c r="F77" s="82" t="str">
        <f>IFERROR(E77/$E$20," ")</f>
        <v xml:space="preserve"> </v>
      </c>
      <c r="G77" s="22">
        <f>COUNTIFS('Falls Data Entry'!$H$6:$H$423,"&lt;&gt;"&amp;" ",'Falls Data Entry'!$AA$6:$AA$423,"="&amp;"YES",'Falls Data Entry'!$H$6:$H$423,"&gt;="&amp;DATE(YEAR(VALUE('Falls Summary'!$E$8)),1,1),'Falls Data Entry'!$H$6:$H$423,"&lt;="&amp;DATE(YEAR(VALUE('Falls Summary'!$E$8)),12,31),'Falls Data Entry'!$A$6:$A$423,D77)</f>
        <v>0</v>
      </c>
      <c r="H77" s="82" t="str">
        <f>IFERROR(G77/$G$20," ")</f>
        <v xml:space="preserve"> </v>
      </c>
    </row>
    <row r="78" spans="1:8" ht="17.25" x14ac:dyDescent="0.3">
      <c r="A78" s="46">
        <v>9</v>
      </c>
      <c r="C78" s="16"/>
      <c r="D78" s="94" t="str">
        <f>IF(ISNONTEXT($G$5),"",$G$5)</f>
        <v>Unit 3</v>
      </c>
      <c r="E78" s="16">
        <f>COUNTIFS('Falls Data Entry'!$H$6:$H$423,"&lt;&gt;"&amp;" ",'Falls Data Entry'!$AA$6:$AA$423,"="&amp;"YES",'Falls Data Entry'!$H$6:$H$423,"&gt;="&amp;DATE(YEAR('Falls Summary'!$E$7),MONTH('Falls Summary'!$E$7),1),'Falls Data Entry'!$H$6:$H$423,"&lt;="&amp;EOMONTH(DATE(YEAR('Falls Summary'!$E$7),MONTH('Falls Summary'!$E$7),1),0),'Falls Data Entry'!$A$6:$A$423,D78)</f>
        <v>0</v>
      </c>
      <c r="F78" s="95" t="str">
        <f>IFERROR(E78/$E$21," ")</f>
        <v xml:space="preserve"> </v>
      </c>
      <c r="G78" s="16">
        <f>COUNTIFS('Falls Data Entry'!$H$6:$H$423,"&lt;&gt;"&amp;" ",'Falls Data Entry'!$AA$6:$AA$423,"="&amp;"YES",'Falls Data Entry'!$H$6:$H$423,"&gt;="&amp;DATE(YEAR(VALUE('Falls Summary'!$E$8)),1,1),'Falls Data Entry'!$H$6:$H$423,"&lt;="&amp;DATE(YEAR(VALUE('Falls Summary'!$E$8)),12,31),'Falls Data Entry'!$A$6:$A$423,D78)</f>
        <v>0</v>
      </c>
      <c r="H78" s="95" t="str">
        <f>IFERROR(G78/$G$21," ")</f>
        <v xml:space="preserve"> </v>
      </c>
    </row>
    <row r="79" spans="1:8" ht="17.25" x14ac:dyDescent="0.3">
      <c r="C79" s="7"/>
      <c r="D79" s="28"/>
      <c r="E79" s="7"/>
      <c r="F79" s="97"/>
      <c r="G79" s="7"/>
      <c r="H79" s="97"/>
    </row>
    <row r="81" spans="1:24" ht="21" thickBot="1" x14ac:dyDescent="0.4">
      <c r="C81" s="76" t="s">
        <v>78</v>
      </c>
      <c r="D81" s="44"/>
      <c r="E81" s="170">
        <f>$E$7</f>
        <v>46174</v>
      </c>
      <c r="F81" s="171"/>
      <c r="G81" s="172" t="s">
        <v>11</v>
      </c>
      <c r="H81" s="173"/>
      <c r="I81" s="7"/>
      <c r="J81" s="7"/>
      <c r="K81" s="7"/>
      <c r="L81" s="7"/>
      <c r="M81" s="7"/>
      <c r="N81" s="7"/>
      <c r="O81" s="7"/>
      <c r="P81" s="7"/>
      <c r="Q81" s="7"/>
      <c r="R81" s="7"/>
      <c r="S81" s="7"/>
      <c r="T81" s="7"/>
      <c r="U81" s="7"/>
      <c r="V81" s="7"/>
      <c r="W81" s="7"/>
      <c r="X81" s="7"/>
    </row>
    <row r="82" spans="1:24" ht="53.25" thickTop="1" thickBot="1" x14ac:dyDescent="0.35">
      <c r="C82" s="61"/>
      <c r="D82" s="62"/>
      <c r="E82" s="107" t="s">
        <v>79</v>
      </c>
      <c r="F82" s="107" t="s">
        <v>80</v>
      </c>
      <c r="G82" s="107" t="s">
        <v>79</v>
      </c>
      <c r="H82" s="107" t="s">
        <v>80</v>
      </c>
      <c r="I82" s="7"/>
      <c r="J82" s="164" t="s">
        <v>81</v>
      </c>
      <c r="K82" s="191"/>
      <c r="L82" s="165" t="s">
        <v>82</v>
      </c>
      <c r="M82" s="166"/>
      <c r="N82" s="166"/>
      <c r="O82" s="167"/>
      <c r="P82" s="7"/>
      <c r="Q82" s="7"/>
      <c r="R82" s="7"/>
      <c r="S82" s="164" t="s">
        <v>2906</v>
      </c>
      <c r="T82" s="191"/>
      <c r="U82" s="188" t="str">
        <f>$S$46</f>
        <v>Unit 1</v>
      </c>
      <c r="V82" s="189"/>
      <c r="W82" s="189"/>
      <c r="X82" s="190"/>
    </row>
    <row r="83" spans="1:24" ht="18.75" thickTop="1" thickBot="1" x14ac:dyDescent="0.35">
      <c r="A83" s="46">
        <v>1</v>
      </c>
      <c r="C83" s="129" t="s">
        <v>83</v>
      </c>
      <c r="D83" s="130" t="s">
        <v>3</v>
      </c>
      <c r="E83" s="135">
        <f>COUNTIFS('Falls Data Entry'!$H$6:$H$423,"&lt;&gt;"&amp;" ",'Falls Data Entry'!$O$6:$O$423,"="&amp;"Walking",'Falls Data Entry'!$H$6:$H$423,"&gt;="&amp;DATE(YEAR('Falls Summary'!$E$7),MONTH('Falls Summary'!$E$7),1),'Falls Data Entry'!$H$6:$H$423,"&lt;="&amp;EOMONTH(DATE(YEAR('Falls Summary'!$E$7),MONTH('Falls Summary'!$E$7),1),0))</f>
        <v>0</v>
      </c>
      <c r="F83" s="136" t="str">
        <f>IFERROR(E83/($E$83+$E$87+$E$91+$E$95+$E$99+$E$103+$E$107)," ")</f>
        <v xml:space="preserve"> </v>
      </c>
      <c r="G83" s="137">
        <f>COUNTIFS('Falls Data Entry'!$H$6:$H$423,"&lt;&gt;"&amp;" ",'Falls Data Entry'!$O$6:$O$423,"="&amp;"Walking",'Falls Data Entry'!$H$6:$H$423,"&gt;="&amp;DATE(YEAR(VALUE('Falls Summary'!$E$8)),1,1),'Falls Data Entry'!$H$6:$H$423,"&lt;="&amp;DATE(YEAR(VALUE('Falls Summary'!$E$8)),12,31))</f>
        <v>0</v>
      </c>
      <c r="H83" s="138" t="str">
        <f>IFERROR(G83/($G$83+$G$87+$G$91+$G$95+$G$99+$G$103+$G$107)," ")</f>
        <v xml:space="preserve"> </v>
      </c>
      <c r="I83" s="7"/>
      <c r="J83" s="7"/>
      <c r="K83" s="7"/>
      <c r="L83" s="46">
        <f>_xlfn.XLOOKUP(L82,$C$83:$C$110,$A$83:$A$110,"",0)</f>
        <v>5</v>
      </c>
      <c r="M83" s="7"/>
      <c r="N83" s="7"/>
      <c r="O83" s="7"/>
      <c r="P83" s="7"/>
      <c r="Q83" s="7"/>
      <c r="R83" s="7"/>
      <c r="S83" s="7"/>
      <c r="T83" s="7"/>
      <c r="U83" s="7"/>
      <c r="V83" s="7"/>
      <c r="W83" s="7"/>
      <c r="X83" s="7"/>
    </row>
    <row r="84" spans="1:24" ht="18" thickTop="1" x14ac:dyDescent="0.3">
      <c r="A84" s="46">
        <v>1</v>
      </c>
      <c r="C84" s="83"/>
      <c r="D84" s="84" t="str">
        <f>IF(ISNONTEXT($E$5),"",$E$5)</f>
        <v>Unit 1</v>
      </c>
      <c r="E84" s="16">
        <f>COUNTIFS('Falls Data Entry'!$H$6:$H$423,"&lt;&gt;"&amp;" ",'Falls Data Entry'!$O$6:$O$423,"="&amp;"Walking",'Falls Data Entry'!$H$6:$H$423,"&gt;="&amp;DATE(YEAR('Falls Summary'!$E$7),MONTH('Falls Summary'!$E$7),1),'Falls Data Entry'!$H$6:$H$423,"&lt;="&amp;EOMONTH(DATE(YEAR('Falls Summary'!$E$7),MONTH('Falls Summary'!$E$7),1),0),'Falls Data Entry'!$A$6:$A$423,D84)</f>
        <v>0</v>
      </c>
      <c r="F84" s="95" t="str">
        <f>IFERROR(E84/($E$84+$E$88+$E$92+$E$96+$E$100+$E$104+$E$108)," ")</f>
        <v xml:space="preserve"> </v>
      </c>
      <c r="G84" s="16">
        <f>COUNTIFS('Falls Data Entry'!$H$6:$H$423,"&lt;&gt;"&amp;" ",'Falls Data Entry'!$O$6:$O$423,"="&amp;"Walking",'Falls Data Entry'!$H$6:$H$423,"&gt;="&amp;DATE(YEAR(VALUE('Falls Summary'!$E$8)),1,1),'Falls Data Entry'!$H$6:$H$423,"&lt;="&amp;DATE(YEAR(VALUE('Falls Summary'!$E$8)),12,31),'Falls Data Entry'!$A$6:$A$423,D84)</f>
        <v>0</v>
      </c>
      <c r="H84" s="95" t="str">
        <f>IFERROR(G84/($G$84+$G$88+$G$92+$G$96+$G$100+$G$104+$G$108)," ")</f>
        <v xml:space="preserve"> </v>
      </c>
      <c r="I84" s="7"/>
      <c r="J84" s="81"/>
      <c r="K84" s="85">
        <f>$E$7</f>
        <v>46174</v>
      </c>
      <c r="L84" s="79" t="s">
        <v>11</v>
      </c>
      <c r="M84" s="7"/>
      <c r="N84" s="7"/>
      <c r="O84" s="7"/>
      <c r="P84" s="7"/>
      <c r="Q84" s="7"/>
      <c r="R84" s="7"/>
      <c r="S84" s="7"/>
      <c r="T84" s="7"/>
      <c r="U84" s="7"/>
      <c r="V84" s="7"/>
      <c r="W84" s="7"/>
      <c r="X84" s="7"/>
    </row>
    <row r="85" spans="1:24" ht="17.25" x14ac:dyDescent="0.3">
      <c r="A85" s="46">
        <v>1</v>
      </c>
      <c r="C85" s="83"/>
      <c r="D85" s="84" t="str">
        <f>IF(ISNONTEXT($F$5),"",$F$5)</f>
        <v>Unit 2</v>
      </c>
      <c r="E85" s="22">
        <f>COUNTIFS('Falls Data Entry'!$H$6:$H$423,"&lt;&gt;"&amp;" ",'Falls Data Entry'!$O$6:$O$423,"="&amp;"Walking",'Falls Data Entry'!$H$6:$H$423,"&gt;="&amp;DATE(YEAR('Falls Summary'!$E$7),MONTH('Falls Summary'!$E$7),1),'Falls Data Entry'!$H$6:$H$423,"&lt;="&amp;EOMONTH(DATE(YEAR('Falls Summary'!$E$7),MONTH('Falls Summary'!$E$7),1),0),'Falls Data Entry'!$A$6:$A$423,D85)</f>
        <v>0</v>
      </c>
      <c r="F85" s="82" t="str">
        <f>IFERROR(E85/($E$85+$E$89+$E$93+$E$97+$E$101+$E$105+$E$109)," ")</f>
        <v xml:space="preserve"> </v>
      </c>
      <c r="G85" s="22">
        <f>COUNTIFS('Falls Data Entry'!$H$6:$H$423,"&lt;&gt;"&amp;" ",'Falls Data Entry'!$O$6:$O$423,"="&amp;"Walking",'Falls Data Entry'!$H$6:$H$423,"&gt;="&amp;DATE(YEAR(VALUE('Falls Summary'!$E$8)),1,1),'Falls Data Entry'!$H$6:$H$423,"&lt;="&amp;DATE(YEAR(VALUE('Falls Summary'!$E$8)),12,31),'Falls Data Entry'!$A$6:$A$423,D85)</f>
        <v>0</v>
      </c>
      <c r="H85" s="82" t="str">
        <f>IFERROR(G85/($G$85+$G$89+$G$93+$G$97+$G$101+$G$105+$G$109)," ")</f>
        <v xml:space="preserve"> </v>
      </c>
      <c r="I85" s="7"/>
      <c r="J85" s="84" t="str">
        <f>IF(ISNONTEXT($E$5),"",$E$5)</f>
        <v>Unit 1</v>
      </c>
      <c r="K85" s="86" t="str" cm="1">
        <f t="array" ref="K85">_xlfn.XLOOKUP(J85&amp;$L$83,$D$83:$D$110&amp;$A$83:$A$110,$F$83:$F$110,"",0)</f>
        <v xml:space="preserve"> </v>
      </c>
      <c r="L85" s="86" t="str" cm="1">
        <f t="array" ref="L85">_xlfn.XLOOKUP(J85&amp;$L$83,$D$83:$D$110&amp;$A$83:$A$110,$H$83:$H$110,"",0)</f>
        <v xml:space="preserve"> </v>
      </c>
      <c r="M85" s="7"/>
      <c r="N85" s="7"/>
      <c r="O85" s="7"/>
      <c r="P85" s="7"/>
      <c r="Q85" s="7"/>
      <c r="R85" s="7"/>
      <c r="S85" s="7"/>
      <c r="T85" s="7"/>
      <c r="U85" s="7"/>
      <c r="V85" s="7"/>
      <c r="W85" s="7"/>
      <c r="X85" s="7"/>
    </row>
    <row r="86" spans="1:24" ht="18" thickBot="1" x14ac:dyDescent="0.35">
      <c r="A86" s="46">
        <v>1</v>
      </c>
      <c r="C86" s="83"/>
      <c r="D86" s="84" t="str">
        <f>IF(ISNONTEXT($G$5),"",$G$5)</f>
        <v>Unit 3</v>
      </c>
      <c r="E86" s="133">
        <f>COUNTIFS('Falls Data Entry'!$H$6:$H$423,"&lt;&gt;"&amp;" ",'Falls Data Entry'!$O$6:$O$423,"="&amp;"Walking",'Falls Data Entry'!$H$6:$H$423,"&gt;="&amp;DATE(YEAR('Falls Summary'!$E$7),MONTH('Falls Summary'!$E$7),1),'Falls Data Entry'!$H$6:$H$423,"&lt;="&amp;EOMONTH(DATE(YEAR('Falls Summary'!$E$7),MONTH('Falls Summary'!$E$7),1),0),'Falls Data Entry'!$A$6:$A$423,D86)</f>
        <v>0</v>
      </c>
      <c r="F86" s="134" t="str">
        <f>IFERROR(E86/($E$86+$E$90+$E$94+$E$98+$E$102+$E$106+$E$110)," ")</f>
        <v xml:space="preserve"> </v>
      </c>
      <c r="G86" s="133">
        <f>COUNTIFS('Falls Data Entry'!$H$6:$H$423,"&lt;&gt;"&amp;" ",'Falls Data Entry'!$O$6:$O$423,"="&amp;"Walking",'Falls Data Entry'!$H$6:$H$423,"&gt;="&amp;DATE(YEAR(VALUE('Falls Summary'!$E$8)),1,1),'Falls Data Entry'!$H$6:$H$423,"&lt;="&amp;DATE(YEAR(VALUE('Falls Summary'!$E$8)),12,31),'Falls Data Entry'!$A$6:$A$423,D86)</f>
        <v>0</v>
      </c>
      <c r="H86" s="134" t="str">
        <f>IFERROR(G86/($G$86+$G$90+$G$94+$G$98+$G$102+$G$106+$G$110)," ")</f>
        <v xml:space="preserve"> </v>
      </c>
      <c r="I86" s="7"/>
      <c r="J86" s="84" t="str">
        <f>IF(ISNONTEXT($F$5),"",$F$5)</f>
        <v>Unit 2</v>
      </c>
      <c r="K86" s="86" t="str" cm="1">
        <f t="array" ref="K86">_xlfn.XLOOKUP(J86&amp;$L$83,$D$83:$D$110&amp;$A$83:$A$110,$F$83:$F$110,"",0)</f>
        <v xml:space="preserve"> </v>
      </c>
      <c r="L86" s="86" t="str" cm="1">
        <f t="array" ref="L86">_xlfn.XLOOKUP(J86&amp;$L$83,$D$83:$D$110&amp;$A$83:$A$110,$H$83:$H$110,"",0)</f>
        <v xml:space="preserve"> </v>
      </c>
      <c r="M86" s="7"/>
      <c r="N86" s="7"/>
      <c r="O86" s="7"/>
      <c r="P86" s="7"/>
      <c r="Q86" s="7"/>
      <c r="R86" s="7"/>
      <c r="S86" s="7"/>
      <c r="T86" s="7"/>
      <c r="U86" s="7"/>
      <c r="V86" s="7"/>
      <c r="W86" s="7"/>
      <c r="X86" s="7"/>
    </row>
    <row r="87" spans="1:24" ht="18.75" thickTop="1" thickBot="1" x14ac:dyDescent="0.35">
      <c r="A87" s="46">
        <v>2</v>
      </c>
      <c r="C87" s="129" t="s">
        <v>84</v>
      </c>
      <c r="D87" s="130" t="s">
        <v>3</v>
      </c>
      <c r="E87" s="135">
        <f>COUNTIFS('Falls Data Entry'!$H$6:$H$423,"&lt;&gt;"&amp;" ",'Falls Data Entry'!$O$6:$O$423,"="&amp;"Transfer",'Falls Data Entry'!$H$6:$H$423,"&gt;="&amp;DATE(YEAR('Falls Summary'!$E$7),MONTH('Falls Summary'!$E$7),1),'Falls Data Entry'!$H$6:$H$423,"&lt;="&amp;EOMONTH(DATE(YEAR('Falls Summary'!$E$7),MONTH('Falls Summary'!$E$7),1),0))</f>
        <v>0</v>
      </c>
      <c r="F87" s="136" t="str">
        <f>IFERROR(E87/($E$83+$E$87+$E$91+$E$95+$E$99+$E$103+$E$107)," ")</f>
        <v xml:space="preserve"> </v>
      </c>
      <c r="G87" s="137">
        <f>COUNTIFS('Falls Data Entry'!$H$6:$H$423,"&lt;&gt;"&amp;" ",'Falls Data Entry'!$O$6:$O$423,"="&amp;"Transfer",'Falls Data Entry'!$H$6:$H$423,"&gt;="&amp;DATE(YEAR(VALUE('Falls Summary'!$E$8)),1,1),'Falls Data Entry'!$H$6:$H$423,"&lt;="&amp;DATE(YEAR(VALUE('Falls Summary'!$E$8)),12,31))</f>
        <v>0</v>
      </c>
      <c r="H87" s="138" t="str">
        <f>IFERROR(G87/($G$83+$G$87+$G$91+$G$95+$G$99+$G$103+$G$107)," ")</f>
        <v xml:space="preserve"> </v>
      </c>
      <c r="I87" s="7"/>
      <c r="J87" s="84" t="str">
        <f>IF(ISNONTEXT($G$5),"",$G$5)</f>
        <v>Unit 3</v>
      </c>
      <c r="K87" s="86" t="str" cm="1">
        <f t="array" ref="K87">_xlfn.XLOOKUP(J87&amp;$L$83,$D$83:$D$110&amp;$A$83:$A$110,$F$83:$F$110,"",0)</f>
        <v xml:space="preserve"> </v>
      </c>
      <c r="L87" s="86" t="str" cm="1">
        <f t="array" ref="L87">_xlfn.XLOOKUP(J87&amp;$L$83,$D$83:$D$110&amp;$A$83:$A$110,$H$83:$H$110,"",0)</f>
        <v xml:space="preserve"> </v>
      </c>
      <c r="M87" s="7"/>
      <c r="N87" s="7"/>
      <c r="O87" s="7"/>
      <c r="P87" s="7"/>
      <c r="Q87" s="7"/>
      <c r="R87" s="7"/>
      <c r="S87" s="7"/>
      <c r="T87" s="7"/>
      <c r="U87" s="7"/>
      <c r="V87" s="7"/>
      <c r="W87" s="7"/>
      <c r="X87" s="7"/>
    </row>
    <row r="88" spans="1:24" ht="18" thickTop="1" x14ac:dyDescent="0.3">
      <c r="A88" s="46">
        <v>2</v>
      </c>
      <c r="C88" s="83"/>
      <c r="D88" s="84" t="str">
        <f>IF(ISNONTEXT($E$5),"",$E$5)</f>
        <v>Unit 1</v>
      </c>
      <c r="E88" s="16">
        <f>COUNTIFS('Falls Data Entry'!$H$6:$H$423,"&lt;&gt;"&amp;" ",'Falls Data Entry'!$O$6:$O$423,"="&amp;"Transfer",'Falls Data Entry'!$H$6:$H$423,"&gt;="&amp;DATE(YEAR('Falls Summary'!$E$7),MONTH('Falls Summary'!$E$7),1),'Falls Data Entry'!$H$6:$H$423,"&lt;="&amp;EOMONTH(DATE(YEAR('Falls Summary'!$E$7),MONTH('Falls Summary'!$E$7),1),0),'Falls Data Entry'!$A$6:$A$423,D88)</f>
        <v>0</v>
      </c>
      <c r="F88" s="95" t="str">
        <f>IFERROR(E88/($E$84+$E$88+$E$92+$E$96+$E$100+$E$104+$E$108)," ")</f>
        <v xml:space="preserve"> </v>
      </c>
      <c r="G88" s="16">
        <f>COUNTIFS('Falls Data Entry'!$H$6:$H$423,"&lt;&gt;"&amp;" ",'Falls Data Entry'!$O$6:$O$423,"="&amp;"Transfer",'Falls Data Entry'!$H$6:$H$423,"&gt;="&amp;DATE(YEAR(VALUE('Falls Summary'!$E$8)),1,1),'Falls Data Entry'!$H$6:$H$423,"&lt;="&amp;DATE(YEAR(VALUE('Falls Summary'!$E$8)),12,31),'Falls Data Entry'!$A$6:$A$423,D88)</f>
        <v>0</v>
      </c>
      <c r="H88" s="95" t="str">
        <f>IFERROR(G88/($G$84+$G$88+$G$92+$G$96+$G$100+$G$104+$G$108)," ")</f>
        <v xml:space="preserve"> </v>
      </c>
      <c r="I88" s="7"/>
      <c r="J88" s="84" t="s">
        <v>3</v>
      </c>
      <c r="K88" s="45" t="str" cm="1">
        <f t="array" ref="K88">_xlfn.XLOOKUP(J88&amp;$L$83,$D$83:$D$110&amp;$A$83:$A$110,$F$83:$F$110,"",0)</f>
        <v xml:space="preserve"> </v>
      </c>
      <c r="L88" s="45" t="str" cm="1">
        <f t="array" ref="L88">_xlfn.XLOOKUP(J88&amp;$L$83,$D$83:$D$110&amp;$A$83:$A$110,$H$83:$H$110,"",0)</f>
        <v xml:space="preserve"> </v>
      </c>
      <c r="M88" s="7"/>
      <c r="N88" s="7"/>
      <c r="O88" s="7"/>
      <c r="P88" s="7"/>
      <c r="Q88" s="7"/>
      <c r="R88" s="7"/>
      <c r="S88" s="7"/>
      <c r="T88" s="7"/>
      <c r="U88" s="7"/>
      <c r="V88" s="7"/>
      <c r="W88" s="7"/>
      <c r="X88" s="7"/>
    </row>
    <row r="89" spans="1:24" ht="17.25" x14ac:dyDescent="0.3">
      <c r="A89" s="46">
        <v>2</v>
      </c>
      <c r="C89" s="83"/>
      <c r="D89" s="84" t="str">
        <f>IF(ISNONTEXT($F$5),"",$F$5)</f>
        <v>Unit 2</v>
      </c>
      <c r="E89" s="22">
        <f>COUNTIFS('Falls Data Entry'!$H$6:$H$423,"&lt;&gt;"&amp;" ",'Falls Data Entry'!$O$6:$O$423,"="&amp;"Transfer",'Falls Data Entry'!$H$6:$H$423,"&gt;="&amp;DATE(YEAR('Falls Summary'!$E$7),MONTH('Falls Summary'!$E$7),1),'Falls Data Entry'!$H$6:$H$423,"&lt;="&amp;EOMONTH(DATE(YEAR('Falls Summary'!$E$7),MONTH('Falls Summary'!$E$7),1),0),'Falls Data Entry'!$A$6:$A$423,D89)</f>
        <v>0</v>
      </c>
      <c r="F89" s="82" t="str">
        <f>IFERROR(E89/($E$85+$E$89+$E$93+$E$97+$E$101+$E$105+$E$109)," ")</f>
        <v xml:space="preserve"> </v>
      </c>
      <c r="G89" s="22">
        <f>COUNTIFS('Falls Data Entry'!$H$6:$H$423,"&lt;&gt;"&amp;" ",'Falls Data Entry'!$O$6:$O$423,"="&amp;"Transfer",'Falls Data Entry'!$H$6:$H$423,"&gt;="&amp;DATE(YEAR(VALUE('Falls Summary'!$E$8)),1,1),'Falls Data Entry'!$H$6:$H$423,"&lt;="&amp;DATE(YEAR(VALUE('Falls Summary'!$E$8)),12,31),'Falls Data Entry'!$A$6:$A$423,D89)</f>
        <v>0</v>
      </c>
      <c r="H89" s="82" t="str">
        <f>IFERROR(G89/($G$85+$G$89+$G$93+$G$97+$G$101+$G$105+$G$109)," ")</f>
        <v xml:space="preserve"> </v>
      </c>
      <c r="I89" s="7"/>
      <c r="J89" s="7"/>
      <c r="K89" s="7"/>
      <c r="L89" s="7"/>
      <c r="M89" s="7"/>
      <c r="N89" s="7"/>
      <c r="O89" s="7"/>
      <c r="P89" s="7"/>
      <c r="Q89" s="7"/>
      <c r="R89" s="7"/>
      <c r="S89" s="7"/>
      <c r="T89" s="7"/>
      <c r="U89" s="7"/>
      <c r="V89" s="7"/>
      <c r="W89" s="7"/>
      <c r="X89" s="7"/>
    </row>
    <row r="90" spans="1:24" ht="18" thickBot="1" x14ac:dyDescent="0.35">
      <c r="A90" s="46">
        <v>2</v>
      </c>
      <c r="C90" s="83"/>
      <c r="D90" s="84" t="str">
        <f>IF(ISNONTEXT($G$5),"",$G$5)</f>
        <v>Unit 3</v>
      </c>
      <c r="E90" s="133">
        <f>COUNTIFS('Falls Data Entry'!$H$6:$H$423,"&lt;&gt;"&amp;" ",'Falls Data Entry'!$O$6:$O$423,"="&amp;"Transfer",'Falls Data Entry'!$H$6:$H$423,"&gt;="&amp;DATE(YEAR('Falls Summary'!$E$7),MONTH('Falls Summary'!$E$7),1),'Falls Data Entry'!$H$6:$H$423,"&lt;="&amp;EOMONTH(DATE(YEAR('Falls Summary'!$E$7),MONTH('Falls Summary'!$E$7),1),0),'Falls Data Entry'!$A$6:$A$423,D90)</f>
        <v>0</v>
      </c>
      <c r="F90" s="134" t="str">
        <f>IFERROR(E90/($E$86+$E$90+$E$94+$E$98+$E$102+$E$106+$E$110)," ")</f>
        <v xml:space="preserve"> </v>
      </c>
      <c r="G90" s="133">
        <f>COUNTIFS('Falls Data Entry'!$H$6:$H$423,"&lt;&gt;"&amp;" ",'Falls Data Entry'!$O$6:$O$423,"="&amp;"Transfer",'Falls Data Entry'!$H$6:$H$423,"&gt;="&amp;DATE(YEAR(VALUE('Falls Summary'!$E$8)),1,1),'Falls Data Entry'!$H$6:$H$423,"&lt;="&amp;DATE(YEAR(VALUE('Falls Summary'!$E$8)),12,31),'Falls Data Entry'!$A$6:$A$423,D90)</f>
        <v>0</v>
      </c>
      <c r="H90" s="134" t="str">
        <f>IFERROR(G90/($G$86+$G$90+$G$94+$G$98+$G$102+$G$106+$G$110)," ")</f>
        <v xml:space="preserve"> </v>
      </c>
      <c r="I90" s="7"/>
      <c r="J90" s="7"/>
      <c r="K90" s="7"/>
      <c r="L90" s="7"/>
      <c r="M90" s="7"/>
      <c r="N90" s="7"/>
      <c r="O90" s="7"/>
      <c r="P90" s="7"/>
      <c r="Q90" s="7"/>
      <c r="R90" s="7"/>
      <c r="S90" s="7"/>
      <c r="T90" s="7"/>
      <c r="U90" s="7"/>
      <c r="V90" s="7"/>
      <c r="W90" s="7"/>
      <c r="X90" s="7"/>
    </row>
    <row r="91" spans="1:24" ht="18.75" thickTop="1" thickBot="1" x14ac:dyDescent="0.35">
      <c r="A91" s="46">
        <v>3</v>
      </c>
      <c r="C91" s="129" t="s">
        <v>85</v>
      </c>
      <c r="D91" s="130" t="s">
        <v>3</v>
      </c>
      <c r="E91" s="135">
        <f>COUNTIFS('Falls Data Entry'!$H$6:$H$423,"&lt;&gt;"&amp;" ",'Falls Data Entry'!$O$6:$O$423,"="&amp;"Bed",'Falls Data Entry'!$H$6:$H$423,"&gt;="&amp;DATE(YEAR('Falls Summary'!$E$7),MONTH('Falls Summary'!$E$7),1),'Falls Data Entry'!$H$6:$H$423,"&lt;="&amp;EOMONTH(DATE(YEAR('Falls Summary'!$E$7),MONTH('Falls Summary'!$E$7),1),0))</f>
        <v>0</v>
      </c>
      <c r="F91" s="136" t="str">
        <f>IFERROR(E91/($E$83+$E$87+$E$91+$E$95+$E$99+$E$103+$E$107)," ")</f>
        <v xml:space="preserve"> </v>
      </c>
      <c r="G91" s="137">
        <f>COUNTIFS('Falls Data Entry'!$H$6:$H$423,"&lt;&gt;"&amp;" ",'Falls Data Entry'!$O$6:$O$423,"="&amp;"Bed",'Falls Data Entry'!$H$6:$H$423,"&gt;="&amp;DATE(YEAR(VALUE('Falls Summary'!$E$8)),1,1),'Falls Data Entry'!$H$6:$H$423,"&lt;="&amp;DATE(YEAR(VALUE('Falls Summary'!$E$8)),12,31))</f>
        <v>0</v>
      </c>
      <c r="H91" s="138" t="str">
        <f>IFERROR(G91/($G$83+$G$87+$G$91+$G$95+$G$99+$G$103+$G$107)," ")</f>
        <v xml:space="preserve"> </v>
      </c>
      <c r="I91" s="7"/>
      <c r="J91" s="7"/>
      <c r="K91" s="7"/>
      <c r="L91" s="7"/>
      <c r="M91" s="7"/>
      <c r="N91" s="7"/>
      <c r="O91" s="7"/>
      <c r="P91" s="7"/>
      <c r="Q91" s="7"/>
      <c r="R91" s="7"/>
      <c r="S91" s="7"/>
      <c r="T91" s="7"/>
      <c r="U91" s="7"/>
      <c r="V91" s="7"/>
      <c r="W91" s="7"/>
      <c r="X91" s="7"/>
    </row>
    <row r="92" spans="1:24" ht="18" thickTop="1" x14ac:dyDescent="0.3">
      <c r="A92" s="46">
        <v>3</v>
      </c>
      <c r="C92" s="83"/>
      <c r="D92" s="84" t="str">
        <f>IF(ISNONTEXT($E$5),"",$E$5)</f>
        <v>Unit 1</v>
      </c>
      <c r="E92" s="16">
        <f>COUNTIFS('Falls Data Entry'!$H$6:$H$423,"&lt;&gt;"&amp;" ",'Falls Data Entry'!$O$6:$O$423,"="&amp;"Bed",'Falls Data Entry'!$H$6:$H$423,"&gt;="&amp;DATE(YEAR('Falls Summary'!$E$7),MONTH('Falls Summary'!$E$7),1),'Falls Data Entry'!$H$6:$H$423,"&lt;="&amp;EOMONTH(DATE(YEAR('Falls Summary'!$E$7),MONTH('Falls Summary'!$E$7),1),0),'Falls Data Entry'!$A$6:$A$423,D92)</f>
        <v>0</v>
      </c>
      <c r="F92" s="95" t="str">
        <f>IFERROR(E92/($E$84+$E$88+$E$92+$E$96+$E$100+$E$104+$E$108)," ")</f>
        <v xml:space="preserve"> </v>
      </c>
      <c r="G92" s="16">
        <f>COUNTIFS('Falls Data Entry'!$H$6:$H$423,"&lt;&gt;"&amp;" ",'Falls Data Entry'!$O$6:$O$423,"="&amp;"Bed",'Falls Data Entry'!$H$6:$H$423,"&gt;="&amp;DATE(YEAR(VALUE('Falls Summary'!$E$8)),1,1),'Falls Data Entry'!$H$6:$H$423,"&lt;="&amp;DATE(YEAR(VALUE('Falls Summary'!$E$8)),12,31),'Falls Data Entry'!$A$6:$A$423,D92)</f>
        <v>0</v>
      </c>
      <c r="H92" s="95" t="str">
        <f>IFERROR(G92/($G$84+$G$88+$G$92+$G$96+$G$100+$G$104+$G$108)," ")</f>
        <v xml:space="preserve"> </v>
      </c>
      <c r="I92" s="7"/>
      <c r="J92" s="7"/>
      <c r="K92" s="7"/>
      <c r="L92" s="7"/>
      <c r="M92" s="7"/>
      <c r="N92" s="7"/>
      <c r="O92" s="7"/>
      <c r="P92" s="7"/>
      <c r="Q92" s="7"/>
      <c r="R92" s="7"/>
      <c r="S92" s="7"/>
      <c r="T92" s="7"/>
      <c r="U92" s="7"/>
      <c r="V92" s="7"/>
      <c r="W92" s="7"/>
      <c r="X92" s="7"/>
    </row>
    <row r="93" spans="1:24" ht="17.25" x14ac:dyDescent="0.3">
      <c r="A93" s="46">
        <v>3</v>
      </c>
      <c r="C93" s="83"/>
      <c r="D93" s="84" t="str">
        <f>IF(ISNONTEXT($F$5),"",$F$5)</f>
        <v>Unit 2</v>
      </c>
      <c r="E93" s="22">
        <f>COUNTIFS('Falls Data Entry'!$H$6:$H$423,"&lt;&gt;"&amp;" ",'Falls Data Entry'!$O$6:$O$423,"="&amp;"Bed",'Falls Data Entry'!$H$6:$H$423,"&gt;="&amp;DATE(YEAR('Falls Summary'!$E$7),MONTH('Falls Summary'!$E$7),1),'Falls Data Entry'!$H$6:$H$423,"&lt;="&amp;EOMONTH(DATE(YEAR('Falls Summary'!$E$7),MONTH('Falls Summary'!$E$7),1),0),'Falls Data Entry'!$A$6:$A$423,D93)</f>
        <v>0</v>
      </c>
      <c r="F93" s="82" t="str">
        <f>IFERROR(E93/($E$85+$E$89+$E$93+$E$97+$E$101+$E$105+$E$109)," ")</f>
        <v xml:space="preserve"> </v>
      </c>
      <c r="G93" s="22">
        <f>COUNTIFS('Falls Data Entry'!$H$6:$H$423,"&lt;&gt;"&amp;" ",'Falls Data Entry'!$O$6:$O$423,"="&amp;"Bed",'Falls Data Entry'!$H$6:$H$423,"&gt;="&amp;DATE(YEAR(VALUE('Falls Summary'!$E$8)),1,1),'Falls Data Entry'!$H$6:$H$423,"&lt;="&amp;DATE(YEAR(VALUE('Falls Summary'!$E$8)),12,31),'Falls Data Entry'!$A$6:$A$423,D93)</f>
        <v>0</v>
      </c>
      <c r="H93" s="82" t="str">
        <f>IFERROR(G93/($G$85+$G$89+$G$93+$G$97+$G$101+$G$105+$G$109)," ")</f>
        <v xml:space="preserve"> </v>
      </c>
      <c r="I93" s="7"/>
      <c r="J93" s="7"/>
      <c r="K93" s="7"/>
      <c r="L93" s="7"/>
      <c r="M93" s="7"/>
      <c r="N93" s="7"/>
      <c r="O93" s="7"/>
      <c r="P93" s="7"/>
      <c r="Q93" s="7"/>
      <c r="R93" s="7"/>
      <c r="S93" s="7"/>
      <c r="T93" s="7"/>
      <c r="U93" s="7"/>
      <c r="V93" s="7"/>
      <c r="W93" s="7"/>
      <c r="X93" s="7"/>
    </row>
    <row r="94" spans="1:24" ht="18" thickBot="1" x14ac:dyDescent="0.35">
      <c r="A94" s="46">
        <v>3</v>
      </c>
      <c r="C94" s="83"/>
      <c r="D94" s="84" t="str">
        <f>IF(ISNONTEXT($G$5),"",$G$5)</f>
        <v>Unit 3</v>
      </c>
      <c r="E94" s="133">
        <f>COUNTIFS('Falls Data Entry'!$H$6:$H$423,"&lt;&gt;"&amp;" ",'Falls Data Entry'!$O$6:$O$423,"="&amp;"Bed",'Falls Data Entry'!$H$6:$H$423,"&gt;="&amp;DATE(YEAR('Falls Summary'!$E$7),MONTH('Falls Summary'!$E$7),1),'Falls Data Entry'!$H$6:$H$423,"&lt;="&amp;EOMONTH(DATE(YEAR('Falls Summary'!$E$7),MONTH('Falls Summary'!$E$7),1),0),'Falls Data Entry'!$A$6:$A$423,D94)</f>
        <v>0</v>
      </c>
      <c r="F94" s="134" t="str">
        <f>IFERROR(E94/($E$86+$E$90+$E$94+$E$98+$E$102+$E$106+$E$110)," ")</f>
        <v xml:space="preserve"> </v>
      </c>
      <c r="G94" s="133">
        <f>COUNTIFS('Falls Data Entry'!$H$6:$H$423,"&lt;&gt;"&amp;" ",'Falls Data Entry'!$O$6:$O$423,"="&amp;"Bed",'Falls Data Entry'!$H$6:$H$423,"&gt;="&amp;DATE(YEAR(VALUE('Falls Summary'!$E$8)),1,1),'Falls Data Entry'!$H$6:$H$423,"&lt;="&amp;DATE(YEAR(VALUE('Falls Summary'!$E$8)),12,31),'Falls Data Entry'!$A$6:$A$423,D94)</f>
        <v>0</v>
      </c>
      <c r="H94" s="134" t="str">
        <f>IFERROR(G94/($G$86+$G$90+$G$94+$G$98+$G$102+$G$106+$G$110)," ")</f>
        <v xml:space="preserve"> </v>
      </c>
      <c r="I94" s="7"/>
      <c r="J94" s="7"/>
      <c r="K94" s="7"/>
      <c r="L94" s="7"/>
      <c r="M94" s="7"/>
      <c r="N94" s="7"/>
      <c r="O94" s="7"/>
      <c r="P94" s="7"/>
      <c r="Q94" s="7"/>
      <c r="R94" s="7"/>
      <c r="S94" s="7"/>
      <c r="T94" s="7"/>
      <c r="U94" s="7"/>
      <c r="V94" s="7"/>
      <c r="W94" s="7"/>
      <c r="X94" s="7"/>
    </row>
    <row r="95" spans="1:24" ht="18.75" thickTop="1" thickBot="1" x14ac:dyDescent="0.35">
      <c r="A95" s="46">
        <v>4</v>
      </c>
      <c r="C95" s="129" t="s">
        <v>86</v>
      </c>
      <c r="D95" s="130" t="s">
        <v>3</v>
      </c>
      <c r="E95" s="135">
        <f>COUNTIFS('Falls Data Entry'!$H$6:$H$423,"&lt;&gt;"&amp;" ",'Falls Data Entry'!$O$6:$O$423,"="&amp;"Chair",'Falls Data Entry'!$H$6:$H$423,"&gt;="&amp;DATE(YEAR('Falls Summary'!$E$7),MONTH('Falls Summary'!$E$7),1),'Falls Data Entry'!$H$6:$H$423,"&lt;="&amp;EOMONTH(DATE(YEAR('Falls Summary'!$E$7),MONTH('Falls Summary'!$E$7),1),0))</f>
        <v>0</v>
      </c>
      <c r="F95" s="136" t="str">
        <f>IFERROR(E95/($E$83+$E$87+$E$91+$E$95+$E$99+$E$103+$E$107)," ")</f>
        <v xml:space="preserve"> </v>
      </c>
      <c r="G95" s="137">
        <f>COUNTIFS('Falls Data Entry'!$H$6:$H$423,"&lt;&gt;"&amp;" ",'Falls Data Entry'!$O$6:$O$423,"="&amp;"Chair",'Falls Data Entry'!$H$6:$H$423,"&gt;="&amp;DATE(YEAR(VALUE('Falls Summary'!$E$8)),1,1),'Falls Data Entry'!$H$6:$H$423,"&lt;="&amp;DATE(YEAR(VALUE('Falls Summary'!$E$8)),12,31))</f>
        <v>0</v>
      </c>
      <c r="H95" s="138" t="str">
        <f>IFERROR(G95/($G$83+$G$87+$G$91+$G$95+$G$99+$G$103+$G$107)," ")</f>
        <v xml:space="preserve"> </v>
      </c>
      <c r="I95" s="7"/>
      <c r="J95" s="7"/>
      <c r="K95" s="7"/>
      <c r="L95" s="7"/>
      <c r="M95" s="7"/>
      <c r="N95" s="7"/>
      <c r="O95" s="7"/>
      <c r="P95" s="7"/>
      <c r="Q95" s="7"/>
      <c r="R95" s="7"/>
      <c r="S95" s="7"/>
      <c r="T95" s="7"/>
      <c r="U95" s="7"/>
      <c r="V95" s="7"/>
      <c r="W95" s="7"/>
      <c r="X95" s="7"/>
    </row>
    <row r="96" spans="1:24" ht="18" thickTop="1" x14ac:dyDescent="0.3">
      <c r="A96" s="46">
        <v>4</v>
      </c>
      <c r="C96" s="87"/>
      <c r="D96" s="84" t="str">
        <f>IF(ISNONTEXT($E$5),"",$E$5)</f>
        <v>Unit 1</v>
      </c>
      <c r="E96" s="16">
        <f>COUNTIFS('Falls Data Entry'!$H$6:$H$423,"&lt;&gt;"&amp;" ",'Falls Data Entry'!$O$6:$O$423,"="&amp;"Chair",'Falls Data Entry'!$H$6:$H$423,"&gt;="&amp;DATE(YEAR('Falls Summary'!$E$7),MONTH('Falls Summary'!$E$7),1),'Falls Data Entry'!$H$6:$H$423,"&lt;="&amp;EOMONTH(DATE(YEAR('Falls Summary'!$E$7),MONTH('Falls Summary'!$E$7),1),0),'Falls Data Entry'!$A$6:$A$423,D96)</f>
        <v>0</v>
      </c>
      <c r="F96" s="95" t="str">
        <f>IFERROR(E96/($E$84+$E$88+$E$92+$E$96+$E$100+$E$104+$E$108)," ")</f>
        <v xml:space="preserve"> </v>
      </c>
      <c r="G96" s="16">
        <f>COUNTIFS('Falls Data Entry'!$H$6:$H$423,"&lt;&gt;"&amp;" ",'Falls Data Entry'!$O$6:$O$423,"="&amp;"Chair",'Falls Data Entry'!$H$6:$H$423,"&gt;="&amp;DATE(YEAR(VALUE('Falls Summary'!$E$8)),1,1),'Falls Data Entry'!$H$6:$H$423,"&lt;="&amp;DATE(YEAR(VALUE('Falls Summary'!$E$8)),12,31),'Falls Data Entry'!$A$6:$A$423,D96)</f>
        <v>0</v>
      </c>
      <c r="H96" s="95" t="str">
        <f>IFERROR(G96/($G$84+$G$88+$G$92+$G$96+$G$100+$G$104+$G$108)," ")</f>
        <v xml:space="preserve"> </v>
      </c>
      <c r="I96" s="7"/>
      <c r="J96" s="7"/>
      <c r="K96" s="7"/>
      <c r="L96" s="7"/>
      <c r="M96" s="7"/>
      <c r="N96" s="7"/>
      <c r="O96" s="7"/>
      <c r="P96" s="7"/>
      <c r="Q96" s="7"/>
      <c r="R96" s="7"/>
      <c r="S96" s="7"/>
      <c r="T96" s="7"/>
      <c r="U96" s="7"/>
      <c r="V96" s="7"/>
      <c r="W96" s="7"/>
      <c r="X96" s="7"/>
    </row>
    <row r="97" spans="1:8" ht="17.25" x14ac:dyDescent="0.3">
      <c r="A97" s="46">
        <v>4</v>
      </c>
      <c r="C97" s="87"/>
      <c r="D97" s="84" t="str">
        <f>IF(ISNONTEXT($F$5),"",$F$5)</f>
        <v>Unit 2</v>
      </c>
      <c r="E97" s="22">
        <f>COUNTIFS('Falls Data Entry'!$H$6:$H$423,"&lt;&gt;"&amp;" ",'Falls Data Entry'!$O$6:$O$423,"="&amp;"Chair",'Falls Data Entry'!$H$6:$H$423,"&gt;="&amp;DATE(YEAR('Falls Summary'!$E$7),MONTH('Falls Summary'!$E$7),1),'Falls Data Entry'!$H$6:$H$423,"&lt;="&amp;EOMONTH(DATE(YEAR('Falls Summary'!$E$7),MONTH('Falls Summary'!$E$7),1),0),'Falls Data Entry'!$A$6:$A$423,D97)</f>
        <v>0</v>
      </c>
      <c r="F97" s="82" t="str">
        <f>IFERROR(E97/($E$85+$E$89+$E$93+$E$97+$E$101+$E$105+$E$109)," ")</f>
        <v xml:space="preserve"> </v>
      </c>
      <c r="G97" s="22">
        <f>COUNTIFS('Falls Data Entry'!$H$6:$H$423,"&lt;&gt;"&amp;" ",'Falls Data Entry'!$O$6:$O$423,"="&amp;"Chair",'Falls Data Entry'!$H$6:$H$423,"&gt;="&amp;DATE(YEAR(VALUE('Falls Summary'!$E$8)),1,1),'Falls Data Entry'!$H$6:$H$423,"&lt;="&amp;DATE(YEAR(VALUE('Falls Summary'!$E$8)),12,31),'Falls Data Entry'!$A$6:$A$423,D97)</f>
        <v>0</v>
      </c>
      <c r="H97" s="82" t="str">
        <f>IFERROR(G97/($G$85+$G$89+$G$93+$G$97+$G$101+$G$105+$G$109)," ")</f>
        <v xml:space="preserve"> </v>
      </c>
    </row>
    <row r="98" spans="1:8" ht="18" thickBot="1" x14ac:dyDescent="0.35">
      <c r="A98" s="46">
        <v>4</v>
      </c>
      <c r="C98" s="87"/>
      <c r="D98" s="84" t="str">
        <f>IF(ISNONTEXT($G$5),"",$G$5)</f>
        <v>Unit 3</v>
      </c>
      <c r="E98" s="133">
        <f>COUNTIFS('Falls Data Entry'!$H$6:$H$423,"&lt;&gt;"&amp;" ",'Falls Data Entry'!$O$6:$O$423,"="&amp;"Chair",'Falls Data Entry'!$H$6:$H$423,"&gt;="&amp;DATE(YEAR('Falls Summary'!$E$7),MONTH('Falls Summary'!$E$7),1),'Falls Data Entry'!$H$6:$H$423,"&lt;="&amp;EOMONTH(DATE(YEAR('Falls Summary'!$E$7),MONTH('Falls Summary'!$E$7),1),0),'Falls Data Entry'!$A$6:$A$423,D98)</f>
        <v>0</v>
      </c>
      <c r="F98" s="134" t="str">
        <f>IFERROR(E98/($E$86+$E$90+$E$94+$E$98+$E$102+$E$106+$E$110)," ")</f>
        <v xml:space="preserve"> </v>
      </c>
      <c r="G98" s="133">
        <f>COUNTIFS('Falls Data Entry'!$H$6:$H$423,"&lt;&gt;"&amp;" ",'Falls Data Entry'!$O$6:$O$423,"="&amp;"Chair",'Falls Data Entry'!$H$6:$H$423,"&gt;="&amp;DATE(YEAR(VALUE('Falls Summary'!$E$8)),1,1),'Falls Data Entry'!$H$6:$H$423,"&lt;="&amp;DATE(YEAR(VALUE('Falls Summary'!$E$8)),12,31),'Falls Data Entry'!$A$6:$A$423,D98)</f>
        <v>0</v>
      </c>
      <c r="H98" s="134" t="str">
        <f>IFERROR(G98/($G$86+$G$90+$G$94+$G$98+$G$102+$G$106+$G$110)," ")</f>
        <v xml:space="preserve"> </v>
      </c>
    </row>
    <row r="99" spans="1:8" ht="18.75" thickTop="1" thickBot="1" x14ac:dyDescent="0.35">
      <c r="A99" s="46">
        <v>5</v>
      </c>
      <c r="C99" s="129" t="s">
        <v>82</v>
      </c>
      <c r="D99" s="130" t="s">
        <v>3</v>
      </c>
      <c r="E99" s="135">
        <f>COUNTIFS('Falls Data Entry'!$H$6:$H$423,"&lt;&gt;"&amp;" ",'Falls Data Entry'!$O$6:$O$423,"="&amp;"Toileting w/ Assist",'Falls Data Entry'!$H$6:$H$423,"&gt;="&amp;DATE(YEAR('Falls Summary'!$E$7),MONTH('Falls Summary'!$E$7),1),'Falls Data Entry'!$H$6:$H$423,"&lt;="&amp;EOMONTH(DATE(YEAR('Falls Summary'!$E$7),MONTH('Falls Summary'!$E$7),1),0))</f>
        <v>0</v>
      </c>
      <c r="F99" s="136" t="str">
        <f>IFERROR(E99/($E$83+$E$87+$E$91+$E$95+$E$99+$E$103+$E$107)," ")</f>
        <v xml:space="preserve"> </v>
      </c>
      <c r="G99" s="137">
        <f>COUNTIFS('Falls Data Entry'!$H$6:$H$423,"&lt;&gt;"&amp;" ",'Falls Data Entry'!$O$6:$O$423,"="&amp;"Toileting w/ Assist",'Falls Data Entry'!$H$6:$H$423,"&gt;="&amp;DATE(YEAR(VALUE('Falls Summary'!$E$8)),1,1),'Falls Data Entry'!$H$6:$H$423,"&lt;="&amp;DATE(YEAR(VALUE('Falls Summary'!$E$8)),12,31))</f>
        <v>0</v>
      </c>
      <c r="H99" s="138" t="str">
        <f>IFERROR(G99/($G$83+$G$87+$G$91+$G$95+$G$99+$G$103+$G$107)," ")</f>
        <v xml:space="preserve"> </v>
      </c>
    </row>
    <row r="100" spans="1:8" ht="18" thickTop="1" x14ac:dyDescent="0.3">
      <c r="A100" s="46">
        <v>5</v>
      </c>
      <c r="C100" s="87"/>
      <c r="D100" s="84" t="str">
        <f>IF(ISNONTEXT($E$5),"",$E$5)</f>
        <v>Unit 1</v>
      </c>
      <c r="E100" s="16">
        <f>COUNTIFS('Falls Data Entry'!$H$6:$H$423,"&lt;&gt;"&amp;" ",'Falls Data Entry'!$O$6:$O$423,"="&amp;"Toileting w/ Assist",'Falls Data Entry'!$H$6:$H$423,"&gt;="&amp;DATE(YEAR('Falls Summary'!$E$7),MONTH('Falls Summary'!$E$7),1),'Falls Data Entry'!$H$6:$H$423,"&lt;="&amp;EOMONTH(DATE(YEAR('Falls Summary'!$E$7),MONTH('Falls Summary'!$E$7),1),0),'Falls Data Entry'!$A$6:$A$423,D100)</f>
        <v>0</v>
      </c>
      <c r="F100" s="95" t="str">
        <f>IFERROR(E100/($E$84+$E$88+$E$92+$E$96+$E$100+$E$104+$E$108)," ")</f>
        <v xml:space="preserve"> </v>
      </c>
      <c r="G100" s="16">
        <f>COUNTIFS('Falls Data Entry'!$H$6:$H$423,"&lt;&gt;"&amp;" ",'Falls Data Entry'!$O$6:$O$423,"="&amp;"Toileting w/ Assist",'Falls Data Entry'!$H$6:$H$423,"&gt;="&amp;DATE(YEAR(VALUE('Falls Summary'!$E$8)),1,1),'Falls Data Entry'!$H$6:$H$423,"&lt;="&amp;DATE(YEAR(VALUE('Falls Summary'!$E$8)),12,31),'Falls Data Entry'!$A$6:$A$423,D100)</f>
        <v>0</v>
      </c>
      <c r="H100" s="95" t="str">
        <f>IFERROR(G100/($G$84+$G$88+$G$92+$G$96+$G$100+$G$104+$G$108)," ")</f>
        <v xml:space="preserve"> </v>
      </c>
    </row>
    <row r="101" spans="1:8" ht="17.25" x14ac:dyDescent="0.3">
      <c r="A101" s="46">
        <v>5</v>
      </c>
      <c r="C101" s="87"/>
      <c r="D101" s="84" t="str">
        <f>IF(ISNONTEXT($F$5),"",$F$5)</f>
        <v>Unit 2</v>
      </c>
      <c r="E101" s="22">
        <f>COUNTIFS('Falls Data Entry'!$H$6:$H$423,"&lt;&gt;"&amp;" ",'Falls Data Entry'!$O$6:$O$423,"="&amp;"Toileting w/ Assist",'Falls Data Entry'!$H$6:$H$423,"&gt;="&amp;DATE(YEAR('Falls Summary'!$E$7),MONTH('Falls Summary'!$E$7),1),'Falls Data Entry'!$H$6:$H$423,"&lt;="&amp;EOMONTH(DATE(YEAR('Falls Summary'!$E$7),MONTH('Falls Summary'!$E$7),1),0),'Falls Data Entry'!$A$6:$A$423,D101)</f>
        <v>0</v>
      </c>
      <c r="F101" s="82" t="str">
        <f>IFERROR(E101/($E$85+$E$89+$E$93+$E$97+$E$101+$E$105+$E$109)," ")</f>
        <v xml:space="preserve"> </v>
      </c>
      <c r="G101" s="22">
        <f>COUNTIFS('Falls Data Entry'!$H$6:$H$423,"&lt;&gt;"&amp;" ",'Falls Data Entry'!$O$6:$O$423,"="&amp;"Toileting w/ Assist",'Falls Data Entry'!$H$6:$H$423,"&gt;="&amp;DATE(YEAR(VALUE('Falls Summary'!$E$8)),1,1),'Falls Data Entry'!$H$6:$H$423,"&lt;="&amp;DATE(YEAR(VALUE('Falls Summary'!$E$8)),12,31),'Falls Data Entry'!$A$6:$A$423,D101)</f>
        <v>0</v>
      </c>
      <c r="H101" s="82" t="str">
        <f>IFERROR(G101/($G$85+$G$89+$G$93+$G$97+$G$101+$G$105+$G$109)," ")</f>
        <v xml:space="preserve"> </v>
      </c>
    </row>
    <row r="102" spans="1:8" ht="18" thickBot="1" x14ac:dyDescent="0.35">
      <c r="A102" s="46">
        <v>5</v>
      </c>
      <c r="C102" s="87"/>
      <c r="D102" s="84" t="str">
        <f>IF(ISNONTEXT($G$5),"",$G$5)</f>
        <v>Unit 3</v>
      </c>
      <c r="E102" s="133">
        <f>COUNTIFS('Falls Data Entry'!$H$6:$H$423,"&lt;&gt;"&amp;" ",'Falls Data Entry'!$O$6:$O$423,"="&amp;"Toileting w/ Assist",'Falls Data Entry'!$H$6:$H$423,"&gt;="&amp;DATE(YEAR('Falls Summary'!$E$7),MONTH('Falls Summary'!$E$7),1),'Falls Data Entry'!$H$6:$H$423,"&lt;="&amp;EOMONTH(DATE(YEAR('Falls Summary'!$E$7),MONTH('Falls Summary'!$E$7),1),0),'Falls Data Entry'!$A$6:$A$423,D102)</f>
        <v>0</v>
      </c>
      <c r="F102" s="134" t="str">
        <f>IFERROR(E102/($E$86+$E$90+$E$94+$E$98+$E$102+$E$106+$E$110)," ")</f>
        <v xml:space="preserve"> </v>
      </c>
      <c r="G102" s="133">
        <f>COUNTIFS('Falls Data Entry'!$H$6:$H$423,"&lt;&gt;"&amp;" ",'Falls Data Entry'!$O$6:$O$423,"="&amp;"Toileting w/ Assist",'Falls Data Entry'!$H$6:$H$423,"&gt;="&amp;DATE(YEAR(VALUE('Falls Summary'!$E$8)),1,1),'Falls Data Entry'!$H$6:$H$423,"&lt;="&amp;DATE(YEAR(VALUE('Falls Summary'!$E$8)),12,31),'Falls Data Entry'!$A$6:$A$423,D102)</f>
        <v>0</v>
      </c>
      <c r="H102" s="134" t="str">
        <f>IFERROR(G102/($G$86+$G$90+$G$94+$G$98+$G$102+$G$106+$G$110)," ")</f>
        <v xml:space="preserve"> </v>
      </c>
    </row>
    <row r="103" spans="1:8" ht="18.75" thickTop="1" thickBot="1" x14ac:dyDescent="0.35">
      <c r="A103" s="46">
        <v>6</v>
      </c>
      <c r="C103" s="129" t="s">
        <v>87</v>
      </c>
      <c r="D103" s="130" t="s">
        <v>3</v>
      </c>
      <c r="E103" s="135">
        <f>COUNTIFS('Falls Data Entry'!$H$6:$H$423,"&lt;&gt;"&amp;" ",'Falls Data Entry'!$O$6:$O$423,"="&amp;"Toileting w/o Assist",'Falls Data Entry'!$H$6:$H$423,"&gt;="&amp;DATE(YEAR('Falls Summary'!$E$7),MONTH('Falls Summary'!$E$7),1),'Falls Data Entry'!$H$6:$H$423,"&lt;="&amp;EOMONTH(DATE(YEAR('Falls Summary'!$E$7),MONTH('Falls Summary'!$E$7),1),0))</f>
        <v>0</v>
      </c>
      <c r="F103" s="136" t="str">
        <f>IFERROR(E103/($E$83+$E$87+$E$91+$E$95+$E$99+$E$103+$E$107)," ")</f>
        <v xml:space="preserve"> </v>
      </c>
      <c r="G103" s="137">
        <f>COUNTIFS('Falls Data Entry'!$H$6:$H$423,"&lt;&gt;"&amp;" ",'Falls Data Entry'!$O$6:$O$423,"="&amp;"Toileting w/o Assist",'Falls Data Entry'!$H$6:$H$423,"&gt;="&amp;DATE(YEAR(VALUE('Falls Summary'!$E$8)),1,1),'Falls Data Entry'!$H$6:$H$423,"&lt;="&amp;DATE(YEAR(VALUE('Falls Summary'!$E$8)),12,31))</f>
        <v>0</v>
      </c>
      <c r="H103" s="138" t="str">
        <f>IFERROR(G103/($G$83+$G$87+$G$91+$G$95+$G$99+$G$103+$G$107)," ")</f>
        <v xml:space="preserve"> </v>
      </c>
    </row>
    <row r="104" spans="1:8" ht="18" thickTop="1" x14ac:dyDescent="0.3">
      <c r="A104" s="46">
        <v>6</v>
      </c>
      <c r="B104" s="47" t="s">
        <v>83</v>
      </c>
      <c r="C104" s="87"/>
      <c r="D104" s="84" t="str">
        <f>IF(ISNONTEXT($E$5),"",$E$5)</f>
        <v>Unit 1</v>
      </c>
      <c r="E104" s="16">
        <f>COUNTIFS('Falls Data Entry'!$H$6:$H$423,"&lt;&gt;"&amp;" ",'Falls Data Entry'!$O$6:$O$423,"="&amp;"Toileting w/o Assist",'Falls Data Entry'!$H$6:$H$423,"&gt;="&amp;DATE(YEAR('Falls Summary'!$E$7),MONTH('Falls Summary'!$E$7),1),'Falls Data Entry'!$H$6:$H$423,"&lt;="&amp;EOMONTH(DATE(YEAR('Falls Summary'!$E$7),MONTH('Falls Summary'!$E$7),1),0),'Falls Data Entry'!$A$6:$A$423,D104)</f>
        <v>0</v>
      </c>
      <c r="F104" s="95" t="str">
        <f>IFERROR(E104/($E$84+$E$88+$E$92+$E$96+$E$100+$E$104+$E$108)," ")</f>
        <v xml:space="preserve"> </v>
      </c>
      <c r="G104" s="16">
        <f>COUNTIFS('Falls Data Entry'!$H$6:$H$423,"&lt;&gt;"&amp;" ",'Falls Data Entry'!$O$6:$O$423,"="&amp;"Toileting w/o Assist",'Falls Data Entry'!$H$6:$H$423,"&gt;="&amp;DATE(YEAR(VALUE('Falls Summary'!$E$8)),1,1),'Falls Data Entry'!$H$6:$H$423,"&lt;="&amp;DATE(YEAR(VALUE('Falls Summary'!$E$8)),12,31),'Falls Data Entry'!$A$6:$A$423,D104)</f>
        <v>0</v>
      </c>
      <c r="H104" s="95" t="str">
        <f>IFERROR(G104/($G$84+$G$88+$G$92+$G$96+$G$100+$G$104+$G$108)," ")</f>
        <v xml:space="preserve"> </v>
      </c>
    </row>
    <row r="105" spans="1:8" ht="17.25" x14ac:dyDescent="0.3">
      <c r="A105" s="46">
        <v>6</v>
      </c>
      <c r="B105" s="47" t="s">
        <v>84</v>
      </c>
      <c r="C105" s="87"/>
      <c r="D105" s="84" t="str">
        <f>IF(ISNONTEXT($F$5),"",$F$5)</f>
        <v>Unit 2</v>
      </c>
      <c r="E105" s="22">
        <f>COUNTIFS('Falls Data Entry'!$H$6:$H$423,"&lt;&gt;"&amp;" ",'Falls Data Entry'!$O$6:$O$423,"="&amp;"Toileting w/o Assist",'Falls Data Entry'!$H$6:$H$423,"&gt;="&amp;DATE(YEAR('Falls Summary'!$E$7),MONTH('Falls Summary'!$E$7),1),'Falls Data Entry'!$H$6:$H$423,"&lt;="&amp;EOMONTH(DATE(YEAR('Falls Summary'!$E$7),MONTH('Falls Summary'!$E$7),1),0),'Falls Data Entry'!$A$6:$A$423,D105)</f>
        <v>0</v>
      </c>
      <c r="F105" s="82" t="str">
        <f>IFERROR(E105/($E$85+$E$89+$E$93+$E$97+$E$101+$E$105+$E$109)," ")</f>
        <v xml:space="preserve"> </v>
      </c>
      <c r="G105" s="22">
        <f>COUNTIFS('Falls Data Entry'!$H$6:$H$423,"&lt;&gt;"&amp;" ",'Falls Data Entry'!$O$6:$O$423,"="&amp;"Toileting w/o Assist",'Falls Data Entry'!$H$6:$H$423,"&gt;="&amp;DATE(YEAR(VALUE('Falls Summary'!$E$8)),1,1),'Falls Data Entry'!$H$6:$H$423,"&lt;="&amp;DATE(YEAR(VALUE('Falls Summary'!$E$8)),12,31),'Falls Data Entry'!$A$6:$A$423,D105)</f>
        <v>0</v>
      </c>
      <c r="H105" s="82" t="str">
        <f>IFERROR(G105/($G$85+$G$89+$G$93+$G$97+$G$101+$G$105+$G$109)," ")</f>
        <v xml:space="preserve"> </v>
      </c>
    </row>
    <row r="106" spans="1:8" ht="18" thickBot="1" x14ac:dyDescent="0.35">
      <c r="A106" s="46">
        <v>6</v>
      </c>
      <c r="B106" s="47" t="s">
        <v>85</v>
      </c>
      <c r="C106" s="87"/>
      <c r="D106" s="84" t="str">
        <f>IF(ISNONTEXT($G$5),"",$G$5)</f>
        <v>Unit 3</v>
      </c>
      <c r="E106" s="133">
        <f>COUNTIFS('Falls Data Entry'!$H$6:$H$423,"&lt;&gt;"&amp;" ",'Falls Data Entry'!$O$6:$O$423,"="&amp;"Toileting w/o Assist",'Falls Data Entry'!$H$6:$H$423,"&gt;="&amp;DATE(YEAR('Falls Summary'!$E$7),MONTH('Falls Summary'!$E$7),1),'Falls Data Entry'!$H$6:$H$423,"&lt;="&amp;EOMONTH(DATE(YEAR('Falls Summary'!$E$7),MONTH('Falls Summary'!$E$7),1),0),'Falls Data Entry'!$A$6:$A$423,D106)</f>
        <v>0</v>
      </c>
      <c r="F106" s="134" t="str">
        <f>IFERROR(E106/($E$86+$E$90+$E$94+$E$98+$E$102+$E$106+$E$110)," ")</f>
        <v xml:space="preserve"> </v>
      </c>
      <c r="G106" s="133">
        <f>COUNTIFS('Falls Data Entry'!$H$6:$H$423,"&lt;&gt;"&amp;" ",'Falls Data Entry'!$O$6:$O$423,"="&amp;"Toileting w/o Assist",'Falls Data Entry'!$H$6:$H$423,"&gt;="&amp;DATE(YEAR(VALUE('Falls Summary'!$E$8)),1,1),'Falls Data Entry'!$H$6:$H$423,"&lt;="&amp;DATE(YEAR(VALUE('Falls Summary'!$E$8)),12,31),'Falls Data Entry'!$A$6:$A$423,D106)</f>
        <v>0</v>
      </c>
      <c r="H106" s="134" t="str">
        <f>IFERROR(G106/($G$86+$G$90+$G$94+$G$98+$G$102+$G$106+$G$110)," ")</f>
        <v xml:space="preserve"> </v>
      </c>
    </row>
    <row r="107" spans="1:8" ht="18.75" thickTop="1" thickBot="1" x14ac:dyDescent="0.35">
      <c r="A107" s="46">
        <v>7</v>
      </c>
      <c r="B107" s="47" t="s">
        <v>86</v>
      </c>
      <c r="C107" s="129" t="s">
        <v>32</v>
      </c>
      <c r="D107" s="130" t="s">
        <v>3</v>
      </c>
      <c r="E107" s="135">
        <f>COUNTIFS('Falls Data Entry'!$H$6:$H$423,"&lt;&gt;"&amp;" ",'Falls Data Entry'!$O$6:$O$423,"="&amp;"Other",'Falls Data Entry'!$H$6:$H$423,"&gt;="&amp;DATE(YEAR('Falls Summary'!$E$7),MONTH('Falls Summary'!$E$7),1),'Falls Data Entry'!$H$6:$H$423,"&lt;="&amp;EOMONTH(DATE(YEAR('Falls Summary'!$E$7),MONTH('Falls Summary'!$E$7),1),0))</f>
        <v>0</v>
      </c>
      <c r="F107" s="136" t="str">
        <f>IFERROR(E107/($E$83+$E$87+$E$91+$E$95+$E$99+$E$103+$E$107)," ")</f>
        <v xml:space="preserve"> </v>
      </c>
      <c r="G107" s="137">
        <f>COUNTIFS('Falls Data Entry'!$H$6:$H$423,"&lt;&gt;"&amp;" ",'Falls Data Entry'!$O$6:$O$423,"="&amp;"Other",'Falls Data Entry'!$H$6:$H$423,"&gt;="&amp;DATE(YEAR(VALUE('Falls Summary'!$E$8)),1,1),'Falls Data Entry'!$H$6:$H$423,"&lt;="&amp;DATE(YEAR(VALUE('Falls Summary'!$E$8)),12,31))</f>
        <v>0</v>
      </c>
      <c r="H107" s="138" t="str">
        <f>IFERROR(G107/($G$83+$G$87+$G$91+$G$95+$G$99+$G$103+$G$107)," ")</f>
        <v xml:space="preserve"> </v>
      </c>
    </row>
    <row r="108" spans="1:8" ht="18" thickTop="1" x14ac:dyDescent="0.3">
      <c r="A108" s="46">
        <v>7</v>
      </c>
      <c r="B108" s="47" t="s">
        <v>82</v>
      </c>
      <c r="C108" s="83"/>
      <c r="D108" s="84" t="str">
        <f>IF(ISNONTEXT($E$5),"",$E$5)</f>
        <v>Unit 1</v>
      </c>
      <c r="E108" s="16">
        <f>COUNTIFS('Falls Data Entry'!$H$6:$H$423,"&lt;&gt;"&amp;" ",'Falls Data Entry'!$O$6:$O$423,"="&amp;"Other",'Falls Data Entry'!$H$6:$H$423,"&gt;="&amp;DATE(YEAR('Falls Summary'!$E$7),MONTH('Falls Summary'!$E$7),1),'Falls Data Entry'!$H$6:$H$423,"&lt;="&amp;EOMONTH(DATE(YEAR('Falls Summary'!$E$7),MONTH('Falls Summary'!$E$7),1),0),'Falls Data Entry'!$A$6:$A$423,D108)</f>
        <v>0</v>
      </c>
      <c r="F108" s="95" t="str">
        <f>IFERROR(E108/($E$84+$E$88+$E$92+$E$96+$E$100+$E$104+$E$108)," ")</f>
        <v xml:space="preserve"> </v>
      </c>
      <c r="G108" s="16">
        <f>COUNTIFS('Falls Data Entry'!$H$6:$H$423,"&lt;&gt;"&amp;" ",'Falls Data Entry'!$O$6:$O$423,"="&amp;"Other",'Falls Data Entry'!$H$6:$H$423,"&gt;="&amp;DATE(YEAR(VALUE('Falls Summary'!$E$8)),1,1),'Falls Data Entry'!$H$6:$H$423,"&lt;="&amp;DATE(YEAR(VALUE('Falls Summary'!$E$8)),12,31),'Falls Data Entry'!$A$6:$A$423,D108)</f>
        <v>0</v>
      </c>
      <c r="H108" s="95" t="str">
        <f>IFERROR(G108/($G$84+$G$88+$G$92+$G$96+$G$100+$G$104+$G$108)," ")</f>
        <v xml:space="preserve"> </v>
      </c>
    </row>
    <row r="109" spans="1:8" ht="17.25" x14ac:dyDescent="0.3">
      <c r="A109" s="46">
        <v>7</v>
      </c>
      <c r="B109" s="47" t="s">
        <v>87</v>
      </c>
      <c r="C109" s="83"/>
      <c r="D109" s="84" t="str">
        <f>IF(ISNONTEXT($F$5),"",$F$5)</f>
        <v>Unit 2</v>
      </c>
      <c r="E109" s="22">
        <f>COUNTIFS('Falls Data Entry'!$H$6:$H$423,"&lt;&gt;"&amp;" ",'Falls Data Entry'!$O$6:$O$423,"="&amp;"Other",'Falls Data Entry'!$H$6:$H$423,"&gt;="&amp;DATE(YEAR('Falls Summary'!$E$7),MONTH('Falls Summary'!$E$7),1),'Falls Data Entry'!$H$6:$H$423,"&lt;="&amp;EOMONTH(DATE(YEAR('Falls Summary'!$E$7),MONTH('Falls Summary'!$E$7),1),0),'Falls Data Entry'!$A$6:$A$423,D109)</f>
        <v>0</v>
      </c>
      <c r="F109" s="82" t="str">
        <f>IFERROR(E109/($E$85+$E$89+$E$93+$E$97+$E$101+$E$105+$E$109)," ")</f>
        <v xml:space="preserve"> </v>
      </c>
      <c r="G109" s="22">
        <f>COUNTIFS('Falls Data Entry'!$H$6:$H$423,"&lt;&gt;"&amp;" ",'Falls Data Entry'!$O$6:$O$423,"="&amp;"Other",'Falls Data Entry'!$H$6:$H$423,"&gt;="&amp;DATE(YEAR(VALUE('Falls Summary'!$E$8)),1,1),'Falls Data Entry'!$H$6:$H$423,"&lt;="&amp;DATE(YEAR(VALUE('Falls Summary'!$E$8)),12,31),'Falls Data Entry'!$A$6:$A$423,D109)</f>
        <v>0</v>
      </c>
      <c r="H109" s="82" t="str">
        <f>IFERROR(G109/($G$85+$G$89+$G$93+$G$97+$G$101+$G$105+$G$109)," ")</f>
        <v xml:space="preserve"> </v>
      </c>
    </row>
    <row r="110" spans="1:8" ht="17.25" x14ac:dyDescent="0.3">
      <c r="A110" s="46">
        <v>7</v>
      </c>
      <c r="B110" s="47" t="s">
        <v>32</v>
      </c>
      <c r="C110" s="94"/>
      <c r="D110" s="84" t="str">
        <f>IF(ISNONTEXT($G$5),"",$G$5)</f>
        <v>Unit 3</v>
      </c>
      <c r="E110" s="22">
        <f>COUNTIFS('Falls Data Entry'!$H$6:$H$423,"&lt;&gt;"&amp;" ",'Falls Data Entry'!$O$6:$O$423,"="&amp;"Other",'Falls Data Entry'!$H$6:$H$423,"&gt;="&amp;DATE(YEAR('Falls Summary'!$E$7),MONTH('Falls Summary'!$E$7),1),'Falls Data Entry'!$H$6:$H$423,"&lt;="&amp;EOMONTH(DATE(YEAR('Falls Summary'!$E$7),MONTH('Falls Summary'!$E$7),1),0),'Falls Data Entry'!$A$6:$A$423,D110)</f>
        <v>0</v>
      </c>
      <c r="F110" s="82" t="str">
        <f>IFERROR(E110/($E$86+$E$90+$E$94+$E$98+$E$102+$E$106+$E$110)," ")</f>
        <v xml:space="preserve"> </v>
      </c>
      <c r="G110" s="22">
        <f>COUNTIFS('Falls Data Entry'!$H$6:$H$423,"&lt;&gt;"&amp;" ",'Falls Data Entry'!$O$6:$O$423,"="&amp;"Other",'Falls Data Entry'!$H$6:$H$423,"&gt;="&amp;DATE(YEAR(VALUE('Falls Summary'!$E$8)),1,1),'Falls Data Entry'!$H$6:$H$423,"&lt;="&amp;DATE(YEAR(VALUE('Falls Summary'!$E$8)),12,31),'Falls Data Entry'!$A$6:$A$423,D110)</f>
        <v>0</v>
      </c>
      <c r="H110" s="82" t="str">
        <f>IFERROR(G110/($G$86+$G$90+$G$94+$G$98+$G$102+$G$106+$G$110)," ")</f>
        <v xml:space="preserve"> </v>
      </c>
    </row>
  </sheetData>
  <mergeCells count="20">
    <mergeCell ref="E81:F81"/>
    <mergeCell ref="G81:H81"/>
    <mergeCell ref="E45:F45"/>
    <mergeCell ref="G45:H45"/>
    <mergeCell ref="C5:D5"/>
    <mergeCell ref="C7:D7"/>
    <mergeCell ref="E16:F16"/>
    <mergeCell ref="G16:H16"/>
    <mergeCell ref="C8:D8"/>
    <mergeCell ref="I16:K17"/>
    <mergeCell ref="L16:O17"/>
    <mergeCell ref="J46:K46"/>
    <mergeCell ref="L46:O46"/>
    <mergeCell ref="I6:I7"/>
    <mergeCell ref="U82:X82"/>
    <mergeCell ref="S82:T82"/>
    <mergeCell ref="L82:O82"/>
    <mergeCell ref="J82:K82"/>
    <mergeCell ref="S46:V46"/>
    <mergeCell ref="Q46:R46"/>
  </mergeCells>
  <dataValidations count="3">
    <dataValidation type="list" allowBlank="1" showInputMessage="1" showErrorMessage="1" sqref="L16:O17" xr:uid="{28589FC9-09C3-48B8-8D63-E100E7EC315C}">
      <formula1>$C$31:$C$35</formula1>
    </dataValidation>
    <dataValidation type="list" allowBlank="1" showInputMessage="1" showErrorMessage="1" sqref="L46:O46" xr:uid="{2931F834-EBAF-4AAB-AEE1-97C870B0B853}">
      <formula1>$B$68:$B$75</formula1>
    </dataValidation>
    <dataValidation type="list" allowBlank="1" showInputMessage="1" showErrorMessage="1" sqref="L82:O82" xr:uid="{83BB867D-51FD-4532-BCFD-7B0D0C95E728}">
      <formula1>$B$104:$B$110</formula1>
    </dataValidation>
  </dataValidations>
  <pageMargins left="0.7" right="0.7" top="0.75" bottom="0.75" header="0.3" footer="0.3"/>
  <pageSetup scale="35" orientation="landscape" r:id="rId1"/>
  <rowBreaks count="3" manualBreakCount="3">
    <brk id="15" max="25" man="1"/>
    <brk id="42" max="25" man="1"/>
    <brk id="79" max="25"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6A7D838-23A2-4F19-A5EE-8405172421C9}">
          <x14:formula1>
            <xm:f>'Unit Designation'!$A$9:$A$29</xm:f>
          </x14:formula1>
          <xm:sqref>E5:G5 S46:V46</xm:sqref>
        </x14:dataValidation>
        <x14:dataValidation type="list" allowBlank="1" showInputMessage="1" showErrorMessage="1" xr:uid="{CDD95394-C42A-44CB-A10A-11E38BBF1F36}">
          <x14:formula1>
            <xm:f>ref!$H$2:$H$61</xm:f>
          </x14:formula1>
          <xm:sqref>E7</xm:sqref>
        </x14:dataValidation>
        <x14:dataValidation type="list" allowBlank="1" showInputMessage="1" showErrorMessage="1" xr:uid="{C836BAEE-174F-4335-84C5-9681B6653579}">
          <x14:formula1>
            <xm:f>ref!$I$2:$I$6</xm:f>
          </x14:formula1>
          <xm:sqref>E8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D11B6B9F23254468F6D1ED128359F2E" ma:contentTypeVersion="19" ma:contentTypeDescription="Create a new document." ma:contentTypeScope="" ma:versionID="0c8808ed2273d4d211416612b83ba884">
  <xsd:schema xmlns:xsd="http://www.w3.org/2001/XMLSchema" xmlns:xs="http://www.w3.org/2001/XMLSchema" xmlns:p="http://schemas.microsoft.com/office/2006/metadata/properties" xmlns:ns2="f5e617e0-9ae6-48ae-8c0a-f049dce7ee5d" xmlns:ns3="b6698f20-16d8-4387-8fa1-6bd4bb26deb7" targetNamespace="http://schemas.microsoft.com/office/2006/metadata/properties" ma:root="true" ma:fieldsID="12a45af8cd69a195e07be0fa7a2bd7a6" ns2:_="" ns3:_="">
    <xsd:import namespace="f5e617e0-9ae6-48ae-8c0a-f049dce7ee5d"/>
    <xsd:import namespace="b6698f20-16d8-4387-8fa1-6bd4bb26deb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3:SharedWithUsers" minOccurs="0"/>
                <xsd:element ref="ns3:SharedWithDetail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e617e0-9ae6-48ae-8c0a-f049dce7ee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3a94b52-c727-4669-9169-33f01e01f537"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698f20-16d8-4387-8fa1-6bd4bb26deb7"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d60fa02-844e-4010-beb4-7603f52e3dcf}" ma:internalName="TaxCatchAll" ma:showField="CatchAllData" ma:web="b6698f20-16d8-4387-8fa1-6bd4bb26de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6698f20-16d8-4387-8fa1-6bd4bb26deb7" xsi:nil="true"/>
    <lcf76f155ced4ddcb4097134ff3c332f xmlns="f5e617e0-9ae6-48ae-8c0a-f049dce7ee5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38862E8-4BCD-4004-996E-C7D11146C135}">
  <ds:schemaRefs>
    <ds:schemaRef ds:uri="http://schemas.microsoft.com/sharepoint/v3/contenttype/forms"/>
  </ds:schemaRefs>
</ds:datastoreItem>
</file>

<file path=customXml/itemProps2.xml><?xml version="1.0" encoding="utf-8"?>
<ds:datastoreItem xmlns:ds="http://schemas.openxmlformats.org/officeDocument/2006/customXml" ds:itemID="{9F2DA51B-F803-4FEA-96CA-4A39DE7F86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e617e0-9ae6-48ae-8c0a-f049dce7ee5d"/>
    <ds:schemaRef ds:uri="b6698f20-16d8-4387-8fa1-6bd4bb26de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51A9DC-A7D2-434C-B64B-913B1917045B}">
  <ds:schemaRefs>
    <ds:schemaRef ds:uri="http://purl.org/dc/elements/1.1/"/>
    <ds:schemaRef ds:uri="http://purl.org/dc/terms/"/>
    <ds:schemaRef ds:uri="http://www.w3.org/XML/1998/namespace"/>
    <ds:schemaRef ds:uri="http://schemas.openxmlformats.org/package/2006/metadata/core-properties"/>
    <ds:schemaRef ds:uri="http://schemas.microsoft.com/office/2006/documentManagement/types"/>
    <ds:schemaRef ds:uri="f5e617e0-9ae6-48ae-8c0a-f049dce7ee5d"/>
    <ds:schemaRef ds:uri="b6698f20-16d8-4387-8fa1-6bd4bb26deb7"/>
    <ds:schemaRef ds:uri="http://schemas.microsoft.com/office/2006/metadata/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calc</vt:lpstr>
      <vt:lpstr>rank</vt:lpstr>
      <vt:lpstr>Ref2</vt:lpstr>
      <vt:lpstr>ref</vt:lpstr>
      <vt:lpstr>Instructions</vt:lpstr>
      <vt:lpstr>EXAMPLE Falls Data Entry Sheet</vt:lpstr>
      <vt:lpstr>Falls Data Entry</vt:lpstr>
      <vt:lpstr>Unit Designation</vt:lpstr>
      <vt:lpstr>Falls Summary</vt:lpstr>
      <vt:lpstr>Time Location Falls Summary</vt:lpstr>
      <vt:lpstr>Falls Injury Summary</vt:lpstr>
      <vt:lpstr>PALTmedPotential Causal Factors</vt:lpstr>
      <vt:lpstr>KS_NH</vt:lpstr>
      <vt:lpstr>MO_NH</vt:lpstr>
      <vt:lpstr>'Falls Injury Summary'!Print_Area</vt:lpstr>
      <vt:lpstr>'Falls Summary'!Print_Area</vt:lpstr>
      <vt:lpstr>'Time Location Falls Summary'!Print_Area</vt:lpstr>
      <vt:lpstr>process_list</vt:lpstr>
      <vt:lpstr>SC_NH</vt:lpstr>
      <vt:lpstr>'Ref2'!timeframe</vt:lpstr>
      <vt:lpstr>timeframe</vt:lpstr>
      <vt:lpstr>Unit</vt:lpstr>
      <vt:lpstr>VA_NH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Nursing Home Falls Tracking Tool</dc:title>
  <dc:subject/>
  <dc:creator>Health Quality Innovation Network</dc:creator>
  <cp:keywords/>
  <dc:description/>
  <cp:lastModifiedBy>April Faulkner</cp:lastModifiedBy>
  <cp:revision/>
  <dcterms:created xsi:type="dcterms:W3CDTF">2023-02-10T21:32:01Z</dcterms:created>
  <dcterms:modified xsi:type="dcterms:W3CDTF">2026-06-10T20:10:54Z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0x0101005D11B6B9F23254468F6D1ED128359F2E</vt:lpwstr>
  </property>
  <property fmtid="{D5CDD505-2E9C-101B-9397-08002B2CF9AE}" pid="3" name="MediaServiceImageTags">
    <vt:lpwstr/>
  </property>
</Properties>
</file>